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ED264218-F49A-4238-9194-3D2976615FCE}" xr6:coauthVersionLast="47" xr6:coauthVersionMax="47" xr10:uidLastSave="{00000000-0000-0000-0000-000000000000}"/>
  <bookViews>
    <workbookView xWindow="-120" yWindow="-120" windowWidth="29040" windowHeight="15840" tabRatio="856" activeTab="4" xr2:uid="{00000000-000D-0000-FFFF-FFFF00000000}"/>
  </bookViews>
  <sheets>
    <sheet name="OPĆI DIO" sheetId="10" r:id="rId1"/>
    <sheet name="opći po ekonomskoj" sheetId="14" r:id="rId2"/>
    <sheet name=" po izvorima financiranja" sheetId="16" r:id="rId3"/>
    <sheet name="rashodi-programska" sheetId="8" r:id="rId4"/>
    <sheet name="prihodi programska" sheetId="11" r:id="rId5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4" l="1"/>
  <c r="C38" i="14"/>
  <c r="C37" i="14" s="1"/>
  <c r="D33" i="14"/>
  <c r="D32" i="14"/>
  <c r="F57" i="14"/>
  <c r="E57" i="14"/>
  <c r="C57" i="14"/>
  <c r="D57" i="14"/>
  <c r="D56" i="14"/>
  <c r="F56" i="14"/>
  <c r="E56" i="14"/>
  <c r="C56" i="14"/>
  <c r="D53" i="14"/>
  <c r="C53" i="14"/>
  <c r="C51" i="14"/>
  <c r="D51" i="14"/>
  <c r="C49" i="14"/>
  <c r="D49" i="14"/>
  <c r="C47" i="14"/>
  <c r="D47" i="14"/>
  <c r="C46" i="14"/>
  <c r="D46" i="14"/>
  <c r="C45" i="14"/>
  <c r="D45" i="14"/>
  <c r="C44" i="14"/>
  <c r="D44" i="14"/>
  <c r="C43" i="14"/>
  <c r="D43" i="14"/>
  <c r="C41" i="14"/>
  <c r="D41" i="14"/>
  <c r="C40" i="14"/>
  <c r="D40" i="14"/>
  <c r="C39" i="14"/>
  <c r="D39" i="14"/>
  <c r="C23" i="14"/>
  <c r="C20" i="14"/>
  <c r="C19" i="14"/>
  <c r="C17" i="14"/>
  <c r="F53" i="14"/>
  <c r="E53" i="14"/>
  <c r="E52" i="14" s="1"/>
  <c r="E51" i="14"/>
  <c r="F51" i="14"/>
  <c r="F49" i="14"/>
  <c r="E49" i="14"/>
  <c r="F47" i="14"/>
  <c r="E47" i="14"/>
  <c r="E46" i="14"/>
  <c r="F46" i="14"/>
  <c r="F45" i="14"/>
  <c r="E45" i="14"/>
  <c r="F44" i="14"/>
  <c r="E44" i="14"/>
  <c r="F43" i="14"/>
  <c r="E43" i="14"/>
  <c r="F41" i="14"/>
  <c r="E41" i="14"/>
  <c r="F40" i="14"/>
  <c r="E40" i="14"/>
  <c r="F39" i="14"/>
  <c r="E39" i="14"/>
  <c r="F31" i="14"/>
  <c r="E31" i="14"/>
  <c r="F29" i="14"/>
  <c r="E29" i="14"/>
  <c r="D13" i="14"/>
  <c r="F26" i="14"/>
  <c r="E26" i="14"/>
  <c r="F24" i="14"/>
  <c r="F23" i="14"/>
  <c r="F19" i="14"/>
  <c r="E19" i="14"/>
  <c r="D19" i="14"/>
  <c r="F21" i="14"/>
  <c r="F18" i="14"/>
  <c r="D18" i="14"/>
  <c r="C17" i="8"/>
  <c r="D38" i="16"/>
  <c r="D37" i="16"/>
  <c r="D34" i="16"/>
  <c r="D33" i="16"/>
  <c r="D30" i="16"/>
  <c r="D29" i="16"/>
  <c r="D26" i="16"/>
  <c r="D25" i="16"/>
  <c r="D22" i="16"/>
  <c r="D21" i="16"/>
  <c r="D18" i="16"/>
  <c r="D17" i="16"/>
  <c r="D15" i="16"/>
  <c r="D14" i="16"/>
  <c r="C38" i="16"/>
  <c r="C34" i="16"/>
  <c r="C30" i="16"/>
  <c r="C26" i="16"/>
  <c r="C22" i="16"/>
  <c r="C21" i="16"/>
  <c r="C18" i="16"/>
  <c r="C15" i="16"/>
  <c r="C14" i="16"/>
  <c r="D58" i="11"/>
  <c r="D52" i="11"/>
  <c r="D46" i="11"/>
  <c r="D35" i="11"/>
  <c r="D33" i="11"/>
  <c r="D39" i="11"/>
  <c r="D41" i="11"/>
  <c r="D25" i="11"/>
  <c r="D19" i="11"/>
  <c r="D18" i="11" s="1"/>
  <c r="E19" i="11"/>
  <c r="E23" i="14" s="1"/>
  <c r="F19" i="11"/>
  <c r="F58" i="11"/>
  <c r="F57" i="11" s="1"/>
  <c r="F56" i="11" s="1"/>
  <c r="F52" i="11"/>
  <c r="F51" i="11" s="1"/>
  <c r="F50" i="11" s="1"/>
  <c r="F45" i="11"/>
  <c r="F44" i="11" s="1"/>
  <c r="F41" i="11"/>
  <c r="F39" i="11"/>
  <c r="F35" i="11"/>
  <c r="E35" i="11"/>
  <c r="F33" i="11"/>
  <c r="F26" i="11"/>
  <c r="F25" i="11" s="1"/>
  <c r="F24" i="11" s="1"/>
  <c r="C127" i="8"/>
  <c r="C118" i="8" s="1"/>
  <c r="D127" i="8"/>
  <c r="D118" i="8"/>
  <c r="E118" i="8"/>
  <c r="C43" i="8"/>
  <c r="C34" i="8" s="1"/>
  <c r="E34" i="8"/>
  <c r="D34" i="8"/>
  <c r="C52" i="8"/>
  <c r="D52" i="8"/>
  <c r="C46" i="8"/>
  <c r="D46" i="8"/>
  <c r="D21" i="8" s="1"/>
  <c r="D17" i="8" s="1"/>
  <c r="C27" i="8"/>
  <c r="D27" i="8"/>
  <c r="D22" i="8"/>
  <c r="C22" i="8"/>
  <c r="C19" i="8"/>
  <c r="F11" i="8"/>
  <c r="F17" i="8"/>
  <c r="F59" i="8"/>
  <c r="F166" i="8"/>
  <c r="F165" i="8" s="1"/>
  <c r="D166" i="8"/>
  <c r="F156" i="8"/>
  <c r="F127" i="8" s="1"/>
  <c r="F124" i="8"/>
  <c r="F122" i="8"/>
  <c r="F119" i="8"/>
  <c r="F131" i="8"/>
  <c r="E127" i="8"/>
  <c r="E119" i="8"/>
  <c r="E131" i="8"/>
  <c r="F163" i="8"/>
  <c r="F159" i="8"/>
  <c r="D159" i="8"/>
  <c r="F112" i="8"/>
  <c r="D112" i="8"/>
  <c r="F113" i="8"/>
  <c r="F108" i="8"/>
  <c r="F99" i="8"/>
  <c r="F60" i="8"/>
  <c r="F69" i="8"/>
  <c r="F68" i="8" s="1"/>
  <c r="D69" i="8"/>
  <c r="E68" i="8"/>
  <c r="F61" i="8"/>
  <c r="D61" i="8"/>
  <c r="F62" i="8"/>
  <c r="F88" i="8"/>
  <c r="F84" i="8"/>
  <c r="F78" i="8"/>
  <c r="F72" i="8"/>
  <c r="E72" i="8"/>
  <c r="F96" i="8"/>
  <c r="E88" i="8"/>
  <c r="E60" i="8"/>
  <c r="F18" i="8"/>
  <c r="D211" i="8"/>
  <c r="D210" i="8"/>
  <c r="D217" i="8"/>
  <c r="D215" i="8"/>
  <c r="D119" i="8"/>
  <c r="D135" i="8"/>
  <c r="D131" i="8"/>
  <c r="D128" i="8"/>
  <c r="D98" i="8"/>
  <c r="C84" i="8"/>
  <c r="E84" i="8"/>
  <c r="D84" i="8"/>
  <c r="D78" i="8"/>
  <c r="E24" i="14"/>
  <c r="D30" i="11" l="1"/>
  <c r="F30" i="11"/>
  <c r="F29" i="11" s="1"/>
  <c r="E17" i="14"/>
  <c r="C21" i="8"/>
  <c r="F118" i="8"/>
  <c r="C41" i="16"/>
  <c r="E55" i="14" l="1"/>
  <c r="F52" i="14"/>
  <c r="E50" i="14"/>
  <c r="E48" i="14"/>
  <c r="E42" i="14"/>
  <c r="E25" i="14"/>
  <c r="E22" i="14"/>
  <c r="C212" i="8"/>
  <c r="C211" i="8" s="1"/>
  <c r="G211" i="8" s="1"/>
  <c r="C205" i="8"/>
  <c r="C201" i="8"/>
  <c r="C193" i="8"/>
  <c r="C192" i="8" s="1"/>
  <c r="C190" i="8"/>
  <c r="C187" i="8"/>
  <c r="C186" i="8" s="1"/>
  <c r="C180" i="8"/>
  <c r="C179" i="8" s="1"/>
  <c r="D165" i="8"/>
  <c r="C166" i="8"/>
  <c r="C163" i="8"/>
  <c r="C159" i="8"/>
  <c r="C157" i="8"/>
  <c r="C156" i="8" s="1"/>
  <c r="C144" i="8"/>
  <c r="C135" i="8"/>
  <c r="C131" i="8"/>
  <c r="C128" i="8"/>
  <c r="C124" i="8"/>
  <c r="C99" i="8"/>
  <c r="C100" i="8"/>
  <c r="D99" i="8"/>
  <c r="C113" i="8"/>
  <c r="C108" i="8"/>
  <c r="C111" i="8"/>
  <c r="C72" i="8"/>
  <c r="C77" i="8"/>
  <c r="C96" i="8"/>
  <c r="G96" i="8" s="1"/>
  <c r="F18" i="11"/>
  <c r="F17" i="11" s="1"/>
  <c r="F15" i="11"/>
  <c r="F14" i="11" s="1"/>
  <c r="F13" i="11" s="1"/>
  <c r="E120" i="8"/>
  <c r="F180" i="8"/>
  <c r="F179" i="8" s="1"/>
  <c r="F169" i="8"/>
  <c r="G169" i="8" s="1"/>
  <c r="G159" i="8"/>
  <c r="F157" i="8"/>
  <c r="F144" i="8"/>
  <c r="G144" i="8" s="1"/>
  <c r="F135" i="8"/>
  <c r="G135" i="8" s="1"/>
  <c r="G131" i="8"/>
  <c r="F128" i="8"/>
  <c r="E128" i="8"/>
  <c r="F120" i="8"/>
  <c r="D120" i="8"/>
  <c r="G108" i="8"/>
  <c r="F103" i="8"/>
  <c r="F100" i="8"/>
  <c r="F89" i="8"/>
  <c r="E89" i="8"/>
  <c r="F46" i="8"/>
  <c r="F34" i="8"/>
  <c r="F27" i="8"/>
  <c r="F22" i="8"/>
  <c r="E22" i="8"/>
  <c r="F19" i="8"/>
  <c r="E19" i="8"/>
  <c r="E18" i="8" s="1"/>
  <c r="E187" i="8"/>
  <c r="E186" i="8" s="1"/>
  <c r="E183" i="8"/>
  <c r="E180" i="8"/>
  <c r="E179" i="8" s="1"/>
  <c r="E169" i="8"/>
  <c r="E163" i="8"/>
  <c r="E159" i="8"/>
  <c r="E157" i="8"/>
  <c r="E144" i="8"/>
  <c r="E135" i="8"/>
  <c r="E124" i="8"/>
  <c r="E122" i="8"/>
  <c r="E116" i="8"/>
  <c r="E108" i="8"/>
  <c r="D108" i="8"/>
  <c r="E103" i="8"/>
  <c r="E96" i="8"/>
  <c r="D96" i="8"/>
  <c r="E78" i="8"/>
  <c r="D72" i="8"/>
  <c r="E46" i="8"/>
  <c r="E27" i="8"/>
  <c r="C121" i="8"/>
  <c r="C221" i="8"/>
  <c r="C217" i="8"/>
  <c r="C215" i="8"/>
  <c r="C213" i="8"/>
  <c r="C207" i="8"/>
  <c r="C202" i="8"/>
  <c r="C195" i="8"/>
  <c r="C182" i="8"/>
  <c r="C164" i="8"/>
  <c r="C162" i="8"/>
  <c r="C149" i="8"/>
  <c r="C139" i="8"/>
  <c r="C133" i="8"/>
  <c r="C132" i="8"/>
  <c r="C129" i="8"/>
  <c r="C125" i="8"/>
  <c r="C123" i="8"/>
  <c r="C114" i="8"/>
  <c r="C101" i="8"/>
  <c r="C95" i="8"/>
  <c r="C90" i="8"/>
  <c r="C89" i="8" s="1"/>
  <c r="G89" i="8" s="1"/>
  <c r="C87" i="8"/>
  <c r="C83" i="8"/>
  <c r="C79" i="8"/>
  <c r="C73" i="8"/>
  <c r="G72" i="8" s="1"/>
  <c r="C55" i="8"/>
  <c r="G52" i="8" s="1"/>
  <c r="C51" i="8"/>
  <c r="C50" i="8"/>
  <c r="C49" i="8"/>
  <c r="C48" i="8"/>
  <c r="C47" i="8"/>
  <c r="C42" i="8"/>
  <c r="C40" i="8"/>
  <c r="C38" i="8"/>
  <c r="C37" i="8"/>
  <c r="C36" i="8"/>
  <c r="C35" i="8"/>
  <c r="C32" i="8"/>
  <c r="C31" i="8"/>
  <c r="C30" i="8"/>
  <c r="C29" i="8"/>
  <c r="C28" i="8"/>
  <c r="C25" i="8"/>
  <c r="C24" i="8"/>
  <c r="C23" i="8"/>
  <c r="G203" i="8"/>
  <c r="G190" i="8"/>
  <c r="G180" i="8"/>
  <c r="G176" i="8"/>
  <c r="G173" i="8"/>
  <c r="G167" i="8"/>
  <c r="G163" i="8"/>
  <c r="G153" i="8"/>
  <c r="G151" i="8"/>
  <c r="G128" i="8"/>
  <c r="G106" i="8"/>
  <c r="G69" i="8"/>
  <c r="G66" i="8"/>
  <c r="G64" i="8"/>
  <c r="G53" i="8"/>
  <c r="G44" i="8"/>
  <c r="F12" i="11" l="1"/>
  <c r="C185" i="8"/>
  <c r="G34" i="8"/>
  <c r="C78" i="8"/>
  <c r="E21" i="8"/>
  <c r="G46" i="8"/>
  <c r="G78" i="8"/>
  <c r="G84" i="8"/>
  <c r="C88" i="8"/>
  <c r="G88" i="8" s="1"/>
  <c r="C68" i="8"/>
  <c r="G99" i="8"/>
  <c r="F21" i="8"/>
  <c r="F16" i="8" s="1"/>
  <c r="G27" i="8"/>
  <c r="G18" i="8"/>
  <c r="F219" i="8"/>
  <c r="E219" i="8"/>
  <c r="C219" i="8"/>
  <c r="C218" i="8" s="1"/>
  <c r="C216" i="8"/>
  <c r="C214" i="8"/>
  <c r="F214" i="8"/>
  <c r="E214" i="8"/>
  <c r="F212" i="8"/>
  <c r="F210" i="8" s="1"/>
  <c r="F209" i="8" s="1"/>
  <c r="F15" i="8" s="1"/>
  <c r="E212" i="8"/>
  <c r="E210" i="8" s="1"/>
  <c r="E209" i="8" s="1"/>
  <c r="F206" i="8"/>
  <c r="F205" i="8" s="1"/>
  <c r="E206" i="8"/>
  <c r="E205" i="8" s="1"/>
  <c r="E197" i="8" s="1"/>
  <c r="E196" i="8" s="1"/>
  <c r="D206" i="8"/>
  <c r="F201" i="8"/>
  <c r="G201" i="8" s="1"/>
  <c r="E201" i="8"/>
  <c r="F193" i="8"/>
  <c r="E193" i="8"/>
  <c r="E192" i="8" s="1"/>
  <c r="E185" i="8" s="1"/>
  <c r="D193" i="8"/>
  <c r="G186" i="8"/>
  <c r="E165" i="8"/>
  <c r="F142" i="8"/>
  <c r="E142" i="8"/>
  <c r="C142" i="8"/>
  <c r="C120" i="8"/>
  <c r="C122" i="8"/>
  <c r="F116" i="8"/>
  <c r="E113" i="8"/>
  <c r="D113" i="8"/>
  <c r="E100" i="8"/>
  <c r="E99" i="8" s="1"/>
  <c r="D100" i="8"/>
  <c r="D221" i="8"/>
  <c r="D219" i="8" s="1"/>
  <c r="D213" i="8"/>
  <c r="E54" i="14"/>
  <c r="E27" i="14"/>
  <c r="A2" i="8"/>
  <c r="C55" i="14"/>
  <c r="C54" i="14" s="1"/>
  <c r="C52" i="14"/>
  <c r="C50" i="14"/>
  <c r="C48" i="14"/>
  <c r="C30" i="14"/>
  <c r="C28" i="14"/>
  <c r="C27" i="14" s="1"/>
  <c r="C25" i="14"/>
  <c r="C22" i="14"/>
  <c r="G166" i="8"/>
  <c r="C61" i="8"/>
  <c r="G61" i="8" s="1"/>
  <c r="D52" i="14"/>
  <c r="C56" i="8"/>
  <c r="C116" i="8"/>
  <c r="C103" i="8"/>
  <c r="G103" i="8" s="1"/>
  <c r="C199" i="8"/>
  <c r="G199" i="8" s="1"/>
  <c r="C206" i="8"/>
  <c r="D50" i="14"/>
  <c r="D48" i="14"/>
  <c r="D157" i="8"/>
  <c r="D187" i="8"/>
  <c r="D19" i="8"/>
  <c r="D18" i="8" s="1"/>
  <c r="D17" i="14"/>
  <c r="D16" i="14"/>
  <c r="D29" i="14"/>
  <c r="D24" i="14"/>
  <c r="D23" i="14"/>
  <c r="D21" i="14"/>
  <c r="D20" i="14" s="1"/>
  <c r="F17" i="14"/>
  <c r="D103" i="8"/>
  <c r="E16" i="8" l="1"/>
  <c r="E17" i="8"/>
  <c r="G68" i="8"/>
  <c r="C60" i="8"/>
  <c r="G60" i="8" s="1"/>
  <c r="G142" i="8"/>
  <c r="G116" i="8"/>
  <c r="F98" i="8"/>
  <c r="F192" i="8"/>
  <c r="G193" i="8"/>
  <c r="G127" i="8"/>
  <c r="F197" i="8"/>
  <c r="G205" i="8"/>
  <c r="C112" i="8"/>
  <c r="C98" i="8" s="1"/>
  <c r="C119" i="8"/>
  <c r="E112" i="8"/>
  <c r="E98" i="8" s="1"/>
  <c r="E59" i="8" s="1"/>
  <c r="C198" i="8"/>
  <c r="C197" i="8" s="1"/>
  <c r="D55" i="14"/>
  <c r="D54" i="14" s="1"/>
  <c r="C210" i="8"/>
  <c r="D22" i="14"/>
  <c r="D14" i="14"/>
  <c r="C58" i="14"/>
  <c r="D156" i="8"/>
  <c r="D214" i="8"/>
  <c r="G219" i="8"/>
  <c r="D216" i="8"/>
  <c r="D212" i="8"/>
  <c r="G212" i="8" s="1"/>
  <c r="D183" i="8"/>
  <c r="D180" i="8"/>
  <c r="D89" i="8"/>
  <c r="D88" i="8" s="1"/>
  <c r="C14" i="14"/>
  <c r="C13" i="14" s="1"/>
  <c r="C32" i="14" s="1"/>
  <c r="C33" i="14" s="1"/>
  <c r="E15" i="8" l="1"/>
  <c r="E14" i="8" s="1"/>
  <c r="E13" i="8" s="1"/>
  <c r="E12" i="8" s="1"/>
  <c r="E11" i="8" s="1"/>
  <c r="C16" i="8"/>
  <c r="G216" i="8"/>
  <c r="G214" i="8"/>
  <c r="F14" i="8"/>
  <c r="F13" i="8" s="1"/>
  <c r="F12" i="8" s="1"/>
  <c r="F185" i="8"/>
  <c r="D38" i="14"/>
  <c r="F196" i="8"/>
  <c r="G198" i="8"/>
  <c r="G197" i="8"/>
  <c r="K119" i="8"/>
  <c r="D42" i="14"/>
  <c r="C209" i="8"/>
  <c r="D218" i="8"/>
  <c r="G71" i="11"/>
  <c r="G78" i="11"/>
  <c r="G77" i="11"/>
  <c r="G74" i="11"/>
  <c r="G68" i="11"/>
  <c r="G65" i="11"/>
  <c r="G22" i="8"/>
  <c r="G19" i="8"/>
  <c r="J28" i="10"/>
  <c r="J26" i="10"/>
  <c r="J25" i="10"/>
  <c r="J21" i="10"/>
  <c r="I26" i="10"/>
  <c r="I25" i="10"/>
  <c r="I21" i="10"/>
  <c r="E39" i="16"/>
  <c r="E38" i="14" l="1"/>
  <c r="E37" i="14" s="1"/>
  <c r="E58" i="14" s="1"/>
  <c r="D37" i="14"/>
  <c r="D58" i="14" s="1"/>
  <c r="G218" i="8"/>
  <c r="H27" i="10"/>
  <c r="G27" i="10"/>
  <c r="D28" i="14"/>
  <c r="D26" i="14"/>
  <c r="D25" i="14" s="1"/>
  <c r="F22" i="10"/>
  <c r="D27" i="14" l="1"/>
  <c r="D209" i="8"/>
  <c r="G209" i="8" s="1"/>
  <c r="G210" i="8"/>
  <c r="J27" i="10"/>
  <c r="G17" i="10"/>
  <c r="D23" i="16"/>
  <c r="C23" i="16"/>
  <c r="D19" i="16"/>
  <c r="C19" i="16"/>
  <c r="G206" i="8"/>
  <c r="G14" i="10" l="1"/>
  <c r="E23" i="16"/>
  <c r="E19" i="16"/>
  <c r="G16" i="10" l="1"/>
  <c r="A7" i="16" l="1"/>
  <c r="A7" i="14"/>
  <c r="G17" i="14" l="1"/>
  <c r="G35" i="11"/>
  <c r="C150" i="8"/>
  <c r="G150" i="8" s="1"/>
  <c r="D199" i="8"/>
  <c r="D124" i="8"/>
  <c r="G124" i="8" s="1"/>
  <c r="E39" i="11"/>
  <c r="E18" i="14" s="1"/>
  <c r="E58" i="11"/>
  <c r="G58" i="11" s="1"/>
  <c r="D57" i="11"/>
  <c r="D56" i="11" s="1"/>
  <c r="C37" i="16" s="1"/>
  <c r="G39" i="11" l="1"/>
  <c r="H17" i="14"/>
  <c r="E57" i="11"/>
  <c r="G57" i="11" s="1"/>
  <c r="D203" i="8"/>
  <c r="D201" i="8"/>
  <c r="D151" i="8"/>
  <c r="D122" i="8"/>
  <c r="G113" i="8"/>
  <c r="D64" i="8"/>
  <c r="G122" i="8" l="1"/>
  <c r="G120" i="8"/>
  <c r="G18" i="14"/>
  <c r="H18" i="14"/>
  <c r="E56" i="11"/>
  <c r="G56" i="11" s="1"/>
  <c r="D150" i="8"/>
  <c r="D198" i="8"/>
  <c r="D205" i="8"/>
  <c r="C196" i="8" l="1"/>
  <c r="G196" i="8" s="1"/>
  <c r="E37" i="16"/>
  <c r="G13" i="10"/>
  <c r="D197" i="8"/>
  <c r="E76" i="11"/>
  <c r="D76" i="11"/>
  <c r="D75" i="11" s="1"/>
  <c r="C35" i="16" s="1"/>
  <c r="E73" i="11"/>
  <c r="E70" i="11"/>
  <c r="D70" i="11"/>
  <c r="D69" i="11" s="1"/>
  <c r="C27" i="16" s="1"/>
  <c r="E67" i="11"/>
  <c r="E64" i="11"/>
  <c r="D64" i="11"/>
  <c r="D63" i="11" s="1"/>
  <c r="D73" i="11"/>
  <c r="D72" i="11" s="1"/>
  <c r="C31" i="16" s="1"/>
  <c r="D67" i="11"/>
  <c r="D66" i="11" s="1"/>
  <c r="C42" i="16" l="1"/>
  <c r="F16" i="10"/>
  <c r="G70" i="11"/>
  <c r="G67" i="11"/>
  <c r="G76" i="11"/>
  <c r="G64" i="11"/>
  <c r="G73" i="11"/>
  <c r="F14" i="10"/>
  <c r="E38" i="16"/>
  <c r="E66" i="11"/>
  <c r="G66" i="11" s="1"/>
  <c r="E75" i="11"/>
  <c r="E72" i="11"/>
  <c r="E69" i="11"/>
  <c r="G69" i="11" s="1"/>
  <c r="D196" i="8"/>
  <c r="E63" i="11"/>
  <c r="G63" i="11" s="1"/>
  <c r="D62" i="11"/>
  <c r="D31" i="14" l="1"/>
  <c r="D30" i="14" s="1"/>
  <c r="E30" i="14"/>
  <c r="D31" i="16"/>
  <c r="E31" i="16" s="1"/>
  <c r="G72" i="11"/>
  <c r="D35" i="16"/>
  <c r="E35" i="16" s="1"/>
  <c r="G75" i="11"/>
  <c r="F17" i="10"/>
  <c r="F15" i="10" s="1"/>
  <c r="D27" i="16"/>
  <c r="E27" i="16" s="1"/>
  <c r="E62" i="11"/>
  <c r="G62" i="11" s="1"/>
  <c r="G15" i="10"/>
  <c r="D51" i="11"/>
  <c r="D50" i="11" s="1"/>
  <c r="C33" i="16" s="1"/>
  <c r="E52" i="11"/>
  <c r="G52" i="11" s="1"/>
  <c r="D45" i="11"/>
  <c r="D44" i="11" s="1"/>
  <c r="C29" i="16" s="1"/>
  <c r="G46" i="11"/>
  <c r="G22" i="10" l="1"/>
  <c r="D42" i="16"/>
  <c r="E42" i="16" s="1"/>
  <c r="E51" i="11"/>
  <c r="G51" i="11" s="1"/>
  <c r="E45" i="11"/>
  <c r="G45" i="11" s="1"/>
  <c r="E41" i="11"/>
  <c r="E33" i="11"/>
  <c r="D24" i="11"/>
  <c r="E26" i="11"/>
  <c r="D17" i="11"/>
  <c r="C17" i="16" s="1"/>
  <c r="D14" i="11"/>
  <c r="G19" i="11"/>
  <c r="F16" i="14" l="1"/>
  <c r="E16" i="14"/>
  <c r="E14" i="14" s="1"/>
  <c r="E30" i="11"/>
  <c r="G26" i="11"/>
  <c r="E21" i="14"/>
  <c r="E20" i="14" s="1"/>
  <c r="G41" i="11"/>
  <c r="F14" i="14"/>
  <c r="D13" i="11"/>
  <c r="G33" i="11"/>
  <c r="G29" i="14"/>
  <c r="H29" i="14"/>
  <c r="F28" i="14"/>
  <c r="G24" i="14"/>
  <c r="H24" i="14"/>
  <c r="G31" i="14"/>
  <c r="H31" i="14"/>
  <c r="F30" i="14"/>
  <c r="H22" i="10" s="1"/>
  <c r="G30" i="11"/>
  <c r="E44" i="11"/>
  <c r="G44" i="11" s="1"/>
  <c r="D29" i="11"/>
  <c r="E50" i="11"/>
  <c r="G50" i="11" s="1"/>
  <c r="E18" i="11"/>
  <c r="G18" i="11" s="1"/>
  <c r="E25" i="11"/>
  <c r="G25" i="11" s="1"/>
  <c r="E13" i="14" l="1"/>
  <c r="E32" i="14" s="1"/>
  <c r="E33" i="14" s="1"/>
  <c r="D12" i="11"/>
  <c r="D79" i="11" s="1"/>
  <c r="C25" i="16"/>
  <c r="C40" i="16" s="1"/>
  <c r="H16" i="14"/>
  <c r="H14" i="14"/>
  <c r="G16" i="14"/>
  <c r="J22" i="10"/>
  <c r="I22" i="10"/>
  <c r="E29" i="16"/>
  <c r="H19" i="14"/>
  <c r="G19" i="14"/>
  <c r="H28" i="14"/>
  <c r="F27" i="14"/>
  <c r="G28" i="14"/>
  <c r="G21" i="14"/>
  <c r="H21" i="14"/>
  <c r="F20" i="14"/>
  <c r="E33" i="16"/>
  <c r="G23" i="14"/>
  <c r="H23" i="14"/>
  <c r="H30" i="14"/>
  <c r="G30" i="14"/>
  <c r="F22" i="14"/>
  <c r="E24" i="11"/>
  <c r="G24" i="11" s="1"/>
  <c r="G12" i="10"/>
  <c r="G18" i="10" s="1"/>
  <c r="E17" i="11"/>
  <c r="G17" i="11" s="1"/>
  <c r="G14" i="14" l="1"/>
  <c r="H27" i="14"/>
  <c r="G27" i="14"/>
  <c r="E21" i="16"/>
  <c r="H20" i="14"/>
  <c r="G20" i="14"/>
  <c r="G22" i="14"/>
  <c r="H22" i="14"/>
  <c r="F13" i="10"/>
  <c r="F12" i="10" s="1"/>
  <c r="F18" i="10" s="1"/>
  <c r="E17" i="16"/>
  <c r="H14" i="10"/>
  <c r="J14" i="10" l="1"/>
  <c r="I14" i="10"/>
  <c r="D190" i="8"/>
  <c r="D186" i="8" s="1"/>
  <c r="D176" i="8"/>
  <c r="D173" i="8"/>
  <c r="D169" i="8"/>
  <c r="D167" i="8"/>
  <c r="D154" i="8"/>
  <c r="G154" i="8" s="1"/>
  <c r="D163" i="8"/>
  <c r="D144" i="8"/>
  <c r="D142" i="8"/>
  <c r="D116" i="8"/>
  <c r="D106" i="8"/>
  <c r="G100" i="8"/>
  <c r="D66" i="8"/>
  <c r="D62" i="8"/>
  <c r="C165" i="8" l="1"/>
  <c r="G179" i="8"/>
  <c r="G185" i="8"/>
  <c r="G192" i="8"/>
  <c r="G62" i="8"/>
  <c r="D68" i="8"/>
  <c r="D60" i="8" s="1"/>
  <c r="D59" i="8" s="1"/>
  <c r="D153" i="8"/>
  <c r="D192" i="8"/>
  <c r="D185" i="8" s="1"/>
  <c r="D179" i="8"/>
  <c r="D44" i="8"/>
  <c r="G165" i="8" l="1"/>
  <c r="C59" i="8"/>
  <c r="G98" i="8"/>
  <c r="G112" i="8"/>
  <c r="H51" i="14"/>
  <c r="F50" i="14"/>
  <c r="G51" i="14"/>
  <c r="G56" i="14"/>
  <c r="F55" i="14"/>
  <c r="H56" i="14"/>
  <c r="G57" i="14"/>
  <c r="H57" i="14"/>
  <c r="G44" i="14"/>
  <c r="H44" i="14"/>
  <c r="G39" i="14"/>
  <c r="H39" i="14"/>
  <c r="D16" i="8"/>
  <c r="D15" i="8" s="1"/>
  <c r="D14" i="8" s="1"/>
  <c r="D13" i="8" s="1"/>
  <c r="F27" i="10"/>
  <c r="I27" i="10" s="1"/>
  <c r="G21" i="8" l="1"/>
  <c r="G17" i="8"/>
  <c r="G118" i="8"/>
  <c r="G119" i="8"/>
  <c r="E34" i="16"/>
  <c r="E22" i="16"/>
  <c r="E30" i="16"/>
  <c r="G46" i="14"/>
  <c r="H46" i="14"/>
  <c r="H50" i="14"/>
  <c r="G50" i="14"/>
  <c r="F54" i="14"/>
  <c r="H55" i="14"/>
  <c r="G55" i="14"/>
  <c r="H41" i="14"/>
  <c r="G41" i="14"/>
  <c r="G49" i="14"/>
  <c r="H49" i="14"/>
  <c r="H40" i="14"/>
  <c r="G40" i="14"/>
  <c r="G47" i="14"/>
  <c r="H47" i="14"/>
  <c r="G43" i="14"/>
  <c r="H43" i="14"/>
  <c r="H45" i="14"/>
  <c r="G45" i="14"/>
  <c r="E18" i="16"/>
  <c r="F48" i="14"/>
  <c r="F42" i="14"/>
  <c r="F38" i="14"/>
  <c r="C15" i="8"/>
  <c r="G59" i="8"/>
  <c r="F37" i="14" l="1"/>
  <c r="H54" i="14"/>
  <c r="G54" i="14"/>
  <c r="H42" i="14"/>
  <c r="G42" i="14"/>
  <c r="H48" i="14"/>
  <c r="G48" i="14"/>
  <c r="H38" i="14"/>
  <c r="G38" i="14"/>
  <c r="E15" i="16"/>
  <c r="E26" i="16"/>
  <c r="G29" i="10"/>
  <c r="H17" i="10"/>
  <c r="E15" i="11"/>
  <c r="G15" i="11" l="1"/>
  <c r="E14" i="11"/>
  <c r="G16" i="8"/>
  <c r="G15" i="8"/>
  <c r="C14" i="8"/>
  <c r="J17" i="10"/>
  <c r="I17" i="10"/>
  <c r="H37" i="14"/>
  <c r="G37" i="14"/>
  <c r="F58" i="14"/>
  <c r="D41" i="16"/>
  <c r="E41" i="16" s="1"/>
  <c r="H16" i="10"/>
  <c r="G14" i="11"/>
  <c r="F29" i="10"/>
  <c r="C13" i="8" l="1"/>
  <c r="C12" i="8" s="1"/>
  <c r="J16" i="10"/>
  <c r="I16" i="10"/>
  <c r="G26" i="14"/>
  <c r="H26" i="14"/>
  <c r="H58" i="14"/>
  <c r="G58" i="14"/>
  <c r="F25" i="14"/>
  <c r="F13" i="14" s="1"/>
  <c r="H15" i="10"/>
  <c r="G14" i="8"/>
  <c r="E13" i="11"/>
  <c r="G13" i="11" s="1"/>
  <c r="C11" i="8" l="1"/>
  <c r="J15" i="10"/>
  <c r="I15" i="10"/>
  <c r="G25" i="14"/>
  <c r="H25" i="14"/>
  <c r="E14" i="16"/>
  <c r="E29" i="11"/>
  <c r="G29" i="11" l="1"/>
  <c r="E12" i="11"/>
  <c r="E25" i="16"/>
  <c r="G13" i="14"/>
  <c r="H13" i="14"/>
  <c r="F32" i="14"/>
  <c r="E79" i="11" l="1"/>
  <c r="G79" i="11" s="1"/>
  <c r="G12" i="11"/>
  <c r="D40" i="16"/>
  <c r="G32" i="14"/>
  <c r="H32" i="14"/>
  <c r="F33" i="14"/>
  <c r="H13" i="10"/>
  <c r="E40" i="16" l="1"/>
  <c r="J13" i="10"/>
  <c r="I13" i="10"/>
  <c r="H33" i="14"/>
  <c r="G33" i="14"/>
  <c r="H12" i="10"/>
  <c r="J12" i="10" s="1"/>
  <c r="I12" i="10" l="1"/>
  <c r="H18" i="10"/>
  <c r="J18" i="10" l="1"/>
  <c r="I18" i="10"/>
  <c r="H29" i="10"/>
  <c r="J29" i="10" l="1"/>
  <c r="I29" i="10"/>
  <c r="D12" i="8"/>
  <c r="D11" i="8" s="1"/>
  <c r="G13" i="8"/>
  <c r="J12" i="8" l="1"/>
  <c r="G11" i="8"/>
  <c r="G12" i="8"/>
</calcChain>
</file>

<file path=xl/sharedStrings.xml><?xml version="1.0" encoding="utf-8"?>
<sst xmlns="http://schemas.openxmlformats.org/spreadsheetml/2006/main" count="508" uniqueCount="256">
  <si>
    <t>VRSTA RASHODA / IZDATAKA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</si>
  <si>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</si>
  <si>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</si>
  <si>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</si>
  <si>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</si>
  <si>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</si>
  <si>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</si>
  <si>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</si>
  <si>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</si>
  <si>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</si>
  <si>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</si>
  <si>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</si>
  <si>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</si>
  <si>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</si>
  <si>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</si>
  <si>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</si>
  <si>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</si>
  <si>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</si>
  <si>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</si>
  <si>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</si>
  <si>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</si>
  <si>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</si>
  <si>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</si>
  <si>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</si>
  <si>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</si>
  <si>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</si>
  <si>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</si>
  <si>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</si>
  <si>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</si>
  <si>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</si>
  <si>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</si>
  <si>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</si>
  <si>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</si>
  <si>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3241</t>
  </si>
  <si>
    <t>Naknade troškova osobama izvan radnog odnosa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</si>
  <si>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</si>
  <si>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</si>
  <si>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</si>
  <si>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</si>
  <si>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</si>
  <si>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</si>
  <si>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</si>
  <si>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</si>
  <si>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</si>
  <si>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</si>
  <si>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Bankarske usluge i usluge platnog prometa</t>
  </si>
  <si>
    <t>Zatezne kamate</t>
  </si>
  <si>
    <t>6615</t>
  </si>
  <si>
    <t>Prihodi od pruženih usluga</t>
  </si>
  <si>
    <t>6526</t>
  </si>
  <si>
    <t>Ostali nespomenuti prihodi</t>
  </si>
  <si>
    <t>6361</t>
  </si>
  <si>
    <t>Kapitalne pomoći proračunskim korisnicima iz proračuna koji im nije nadležan</t>
  </si>
  <si>
    <t>6631</t>
  </si>
  <si>
    <t>Tekuće donacije</t>
  </si>
  <si>
    <t>7211</t>
  </si>
  <si>
    <t>Stambeni objekti</t>
  </si>
  <si>
    <t>MATERIJALNI RASHODI</t>
  </si>
  <si>
    <t>FINANCIJSKI RASHODI</t>
  </si>
  <si>
    <t>Razdjel 006 UO ZA OBRAZOVANJE, ŠPORT I KULTURU</t>
  </si>
  <si>
    <t>Glava 00602 SREDNJE ŠKOLE</t>
  </si>
  <si>
    <t>Glavni program A05 OBRAZOVANJE, ŠPORT I KULTURA</t>
  </si>
  <si>
    <t>Program 6000 Odgoj i obrazovanje</t>
  </si>
  <si>
    <t>Aktivnost A600007 Financiranje iznad minimalnog standarda-srednje školstvo</t>
  </si>
  <si>
    <t>RASHODI ZA ZAPOSLENE</t>
  </si>
  <si>
    <t>3113</t>
  </si>
  <si>
    <t>Plaće za prekovremeni rad</t>
  </si>
  <si>
    <t>4221</t>
  </si>
  <si>
    <t xml:space="preserve">Uredska oprema i namještaj                                                                          </t>
  </si>
  <si>
    <t>4241</t>
  </si>
  <si>
    <t>Knjige</t>
  </si>
  <si>
    <t>3291</t>
  </si>
  <si>
    <t>Naknade za rad predstavničkih i izvršnih tijela, povjerenstava i slično</t>
  </si>
  <si>
    <t>Instrumenti, uređaji i strojevi</t>
  </si>
  <si>
    <t>Ostali rashodi za zaposlene</t>
  </si>
  <si>
    <t>Materijal i sirovine</t>
  </si>
  <si>
    <t>Zakupnine i najamnine</t>
  </si>
  <si>
    <t>4227</t>
  </si>
  <si>
    <t>Uređaji, strojevi i oprema za ostale namjene</t>
  </si>
  <si>
    <t>PRIHODI IZ NADLEŽNOG PRORAČUNA</t>
  </si>
  <si>
    <t>Prihodi iz nadležnog proračuna za financiranje rashoda poslovanja</t>
  </si>
  <si>
    <t>PRIHODI OD PRODAJE PROIZVODA I ROBE TE PRUŽENIH USLUGA</t>
  </si>
  <si>
    <t>PRIHODI OD UPRAVNIH I ADM.PRISTOJBI, PRISTOJBI PO POSEBNIM PROPISIMA I NAKNADA</t>
  </si>
  <si>
    <t>POMOĆI IZ INOZEMSTVA I OD SUBJEKATA UNUTAR OPĆEG PRORAČUNA</t>
  </si>
  <si>
    <t>PRIHODI OD DONACIJA</t>
  </si>
  <si>
    <t>PRIHODI OD PRODAJE PROIZVEDENE DUGOTRAJNE IMOVINE</t>
  </si>
  <si>
    <t>Komunikacijska oprema</t>
  </si>
  <si>
    <t>Oprema za održavanje i zaštitu</t>
  </si>
  <si>
    <t>Sportska i glazbena oprema</t>
  </si>
  <si>
    <t>Kapitalne donacije</t>
  </si>
  <si>
    <t>INDEKS</t>
  </si>
  <si>
    <t>Aktivnost A600004 Srednje školstvo-redovno poslovanje po minimalnom standardu</t>
  </si>
  <si>
    <t>PRORAČUNSKI KORISNIK:</t>
  </si>
  <si>
    <t>OPĆI DIO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</si>
  <si>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</si>
  <si>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</si>
  <si>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</si>
  <si>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</si>
  <si>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</si>
  <si>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</si>
  <si>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</si>
  <si>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VIŠAK/MANJAK IZ PRETHODNE(IH) GODINE KOJI ĆE SE POKRITI)RASPOREDITI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</si>
  <si>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</si>
  <si>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</si>
  <si>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</si>
  <si>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</si>
  <si>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IZVJEŠTAJ O IZVRŠENJU FINANCIJSKOG PLANA</t>
  </si>
  <si>
    <t xml:space="preserve">INDEKS </t>
  </si>
  <si>
    <t>BROJ KONTA</t>
  </si>
  <si>
    <t>Plaće (bruto)</t>
  </si>
  <si>
    <t>Plaće za redovan rad</t>
  </si>
  <si>
    <t>Doprinosi na plaće</t>
  </si>
  <si>
    <t>Doprinosi za zdravstveno osiguranje</t>
  </si>
  <si>
    <t>Naknade troškova zaposlenima</t>
  </si>
  <si>
    <t>Rashodi za materijal i energiju</t>
  </si>
  <si>
    <t>Rashodi za usluge</t>
  </si>
  <si>
    <t>Ostali financijski rashodi</t>
  </si>
  <si>
    <t>RASHODI ZA NABAVU PROIZV.DUGOTRAJNE IMOVINE</t>
  </si>
  <si>
    <t>Postrojenja i oprema</t>
  </si>
  <si>
    <t>Knjige, umjetnička djela i ost.izložb.vrijednosti</t>
  </si>
  <si>
    <t>NAKNADE GRAĐANIMA I KUĆANSTVIMA NA TEMELJU OSIGURANJA I DRUGE NAKNADE</t>
  </si>
  <si>
    <t>Ostale nakn.građanima i kućanstvima iz proračuna</t>
  </si>
  <si>
    <t>Naknade građanima i kućanstvima u naravi</t>
  </si>
  <si>
    <t>RASHODI ZA NABAVU PROIZV. DUGOTRAJNE IMOVINE</t>
  </si>
  <si>
    <t>Prihodi poslovanja</t>
  </si>
  <si>
    <t>Pomoći iz inozemstva i od subjekata unutar općeg proračuna</t>
  </si>
  <si>
    <t>Pomoći proračunskim korisnicima iz proračuna koji im nije nadležan</t>
  </si>
  <si>
    <t>Prijenosi između proračunskih korisnika istog proračuna</t>
  </si>
  <si>
    <t>Prihodi od upr.i admin.pristojbi, pristojbi po posebnim propisima i naknada</t>
  </si>
  <si>
    <t>Prihodi od prodaje proizvoda i robe te pruženih usluga i prihodi od donacija</t>
  </si>
  <si>
    <t xml:space="preserve">Prihodi od prodaje proizvoda i robe te pruženih usluga </t>
  </si>
  <si>
    <t>Donacija od pravnih i fizičkih osoba izvan općeg proračuna</t>
  </si>
  <si>
    <t>Prihodi od nadležnog proračuna i od HZZO temeljem ugovornih obveza</t>
  </si>
  <si>
    <t>Prihodi iz nadležnog proračuna za financiranje redovne djelatnosti proračunskih korisnika</t>
  </si>
  <si>
    <t>Prihodi od prodaje nefinancijske imovine</t>
  </si>
  <si>
    <t>Prihodi od prodaje proizvedene dugotrajne imovine</t>
  </si>
  <si>
    <t>Prihodi od prodaje građevinskih objekata</t>
  </si>
  <si>
    <t>UKUPNO PRIHODI</t>
  </si>
  <si>
    <t>Rezultat poslovanja</t>
  </si>
  <si>
    <t>Višak/manjak prihoda</t>
  </si>
  <si>
    <t>RASHODI POSLOVANJA</t>
  </si>
  <si>
    <t>Rashodi za zaposlene</t>
  </si>
  <si>
    <t>Plaće (Bruto)</t>
  </si>
  <si>
    <t>Materijalni rashodi</t>
  </si>
  <si>
    <t>Nakn.troškova osobama izvan rad.odn.</t>
  </si>
  <si>
    <t>Financijski  rashodi</t>
  </si>
  <si>
    <t>Rashodi za nabavu proizvedene dugotrajne  imovine</t>
  </si>
  <si>
    <t>Knjige, umjetnička djela i ostale izložbene vrijednosti</t>
  </si>
  <si>
    <t>UKUPNO RASHODI</t>
  </si>
  <si>
    <t>Izvor  7.2. PRIHODI OD PRODAJE NEFINANCIJSKE IMOVINE</t>
  </si>
  <si>
    <t>Prihodi od pruženih usluga-najam</t>
  </si>
  <si>
    <t>Prihodi od prodaje proizvoda i robe te pruženih usluga</t>
  </si>
  <si>
    <t>Prihodi po posebnim propisima</t>
  </si>
  <si>
    <t>Tekuće pomoći iz drugih nenadležnih proračuna</t>
  </si>
  <si>
    <t>Tekući prijenosi između proračunskih korisnika istog proračuna</t>
  </si>
  <si>
    <t>Donacije od pravnih i fizičkih osoba izvan općeg proračuna</t>
  </si>
  <si>
    <t>VIŠAK PRIHODA IZ PRETHODNE GODINE</t>
  </si>
  <si>
    <t>PRIHODI</t>
  </si>
  <si>
    <t>RASHODI</t>
  </si>
  <si>
    <t>OPĆI PRIHODI I PRIMICI</t>
  </si>
  <si>
    <t>VLASTITI PRIHODI</t>
  </si>
  <si>
    <t>POMOĆI</t>
  </si>
  <si>
    <t>DONACIJE</t>
  </si>
  <si>
    <t>NAZIV RAČUNA</t>
  </si>
  <si>
    <t>PRIHODI I RASHODI PO EKONOMSKOJ KLASIFIKACIJI</t>
  </si>
  <si>
    <t>Naknade građanima i kućanstvima na temelju osiguranja i druge naknade</t>
  </si>
  <si>
    <t>Ostale naknade građanima i kućanstvima iz proračuna</t>
  </si>
  <si>
    <t>PO PROGRAMSKOJ, EKONOMSKOJ KLASIFIKACIJI I IZVORIMA FINANCIRANJA</t>
  </si>
  <si>
    <t>Aktivnost A600011 Pomoćnici u nastavi</t>
  </si>
  <si>
    <t>Pomoći temeljem prijenosa EU sredstava</t>
  </si>
  <si>
    <t>Tekuće pomoći iz državnog proračuna temeljem prijenosa EU sredstava</t>
  </si>
  <si>
    <t>Službena radna i zaštitna odjeća i obuća</t>
  </si>
  <si>
    <t>Doprinosi za obv.osiguranje u slučaju nezaposlenosti</t>
  </si>
  <si>
    <t>Troškovi sudskih postupaka</t>
  </si>
  <si>
    <t>INDEKS 3/1</t>
  </si>
  <si>
    <t>INDEKS 3/2</t>
  </si>
  <si>
    <t>IZVRŠENJE 2022.</t>
  </si>
  <si>
    <t>PRIHODI I RASHODI PO IZVORIMA FINANCIRANJA</t>
  </si>
  <si>
    <t>OZNAKA IF</t>
  </si>
  <si>
    <t>NAZIV IZVORA FINANCIRANJA</t>
  </si>
  <si>
    <t>VIŠAK/MANJAK PRIHODA</t>
  </si>
  <si>
    <t>PRIHODI ZA POSEBNE NAMJENE</t>
  </si>
  <si>
    <t>UKUPNI PRIHODI</t>
  </si>
  <si>
    <t>UKUPNI RASHODI</t>
  </si>
  <si>
    <t>UKUPNO  VIŠAK/MANJAK</t>
  </si>
  <si>
    <t>SVEUKUPNO PRIHODI + PRENESENI VIŠAK KORIŠTEN ZA POKRIĆE RASHODA</t>
  </si>
  <si>
    <t>PRIHODI I PRIMICI</t>
  </si>
  <si>
    <t>RASHODI I IZDACI</t>
  </si>
  <si>
    <t>Izvor: POMOĆI</t>
  </si>
  <si>
    <t>Izvor: OPĆI PRIHODI I PRIMICI</t>
  </si>
  <si>
    <t>Izvor: VLASTITI PRIHODI</t>
  </si>
  <si>
    <t>Izvor:  PRIHODI ZA POSEBNE NAMJENE</t>
  </si>
  <si>
    <t xml:space="preserve">Izvor: DONACIJE </t>
  </si>
  <si>
    <t xml:space="preserve">Izvor: PRIHODI ZA POSEBNE NAMJENE </t>
  </si>
  <si>
    <t xml:space="preserve">Izvor:  POMOĆI </t>
  </si>
  <si>
    <t>Izvor:  DONACIJE</t>
  </si>
  <si>
    <t>Izvor: PRIHODI OD PRODAJE NEFINANCIJSKE IMOVINE</t>
  </si>
  <si>
    <t>Izvor:  POMOĆI BPŽ</t>
  </si>
  <si>
    <t>Izvor: PRIHODI ZA POSEBNE NAMJENE</t>
  </si>
  <si>
    <t>Izvor:  PRIHODI OD PRODAJE NEFINANCIJSKE IMOVINE</t>
  </si>
  <si>
    <t>Višak prihoda</t>
  </si>
  <si>
    <t>Tekuće pomoći iz Ministarstva znanosti i obrazovanja</t>
  </si>
  <si>
    <t>RAČUN/OPIS</t>
  </si>
  <si>
    <t>UKUPAN DONOS VIŠKA/MANJKA IZ PRETHODNE(IH) GODINA</t>
  </si>
  <si>
    <t>VIŠKOVI/MANJKOVI</t>
  </si>
  <si>
    <t>RAČUN PRIHODA I RASHODA</t>
  </si>
  <si>
    <t>RAČUN FINANCIRANJA</t>
  </si>
  <si>
    <t>RAČUN</t>
  </si>
  <si>
    <t>5 (4/2*100)</t>
  </si>
  <si>
    <t>6 (4/3*100)</t>
  </si>
  <si>
    <t>UKUPNO PRIHODI + VIŠAK KORIŠTEN ZA POKR.RASHODA</t>
  </si>
  <si>
    <t>Pomoći od izvanproračunskih korisnika</t>
  </si>
  <si>
    <t>Tekuće pomoći od izvanproračunskih korisnika</t>
  </si>
  <si>
    <t>5.2.</t>
  </si>
  <si>
    <t>3.1.</t>
  </si>
  <si>
    <t>4.2.</t>
  </si>
  <si>
    <t>5.3.</t>
  </si>
  <si>
    <t>6.2.</t>
  </si>
  <si>
    <t>7.2.</t>
  </si>
  <si>
    <t>5.1.</t>
  </si>
  <si>
    <t>4(3/4*100)</t>
  </si>
  <si>
    <t>4(3/2*100)</t>
  </si>
  <si>
    <t>POSEBNI DIO</t>
  </si>
  <si>
    <t xml:space="preserve">INDUSTRIJSKO OBRTNIČKA ŠKOLA </t>
  </si>
  <si>
    <t>Ljudevita Gaja 22, Nova Gradiška</t>
  </si>
  <si>
    <t>OIB: 64838086978</t>
  </si>
  <si>
    <t>INDUSTRIJSKO OBRTNIČKA ŠKOLA</t>
  </si>
  <si>
    <t>Podglava  17909 IOŠ NOVA GRADIŠKA</t>
  </si>
  <si>
    <t>Uređaji,strojevi i oprema za ostale namjene</t>
  </si>
  <si>
    <t>Računalna oprema</t>
  </si>
  <si>
    <t>Knjige-donacija državni prpračun</t>
  </si>
  <si>
    <t>Aktivnost A600010 EU projekti</t>
  </si>
  <si>
    <t>OSTALI RASHODI</t>
  </si>
  <si>
    <t>Tekuće donacije u novcu</t>
  </si>
  <si>
    <t>Prihodi od prodaje proizvoda i usluga</t>
  </si>
  <si>
    <t>Pomoći od inozemnih vlada</t>
  </si>
  <si>
    <t xml:space="preserve">Tekuće pomoći iz proračuna </t>
  </si>
  <si>
    <t>Pomoći proračuna iz drugih proračuna</t>
  </si>
  <si>
    <t>PLANIRANO 2023.</t>
  </si>
  <si>
    <t>IZVRŠENJE 2023.</t>
  </si>
  <si>
    <t>Usluge telefona,pošte i prijevoza</t>
  </si>
  <si>
    <t xml:space="preserve">Sitan inventar i autogume </t>
  </si>
  <si>
    <t xml:space="preserve">Tekuće donacije u naravi </t>
  </si>
  <si>
    <t xml:space="preserve">Stručno usvaršavanje zaposlenika </t>
  </si>
  <si>
    <t xml:space="preserve">Tekuće donacije </t>
  </si>
  <si>
    <t>Ostali rashodi</t>
  </si>
  <si>
    <t>Ljudevita Gaja BB, Nova Gradiška</t>
  </si>
  <si>
    <t xml:space="preserve">IZVRŠENJE 2022.CIJELA GODINA </t>
  </si>
  <si>
    <t>ZA RAZDOBLJE 01.01.-31.12.2023.</t>
  </si>
  <si>
    <t>TEKUĆI PLAN 2023.</t>
  </si>
  <si>
    <t>IZVORNI PLAN 2023.</t>
  </si>
  <si>
    <t>IZVRŠENJE 1.-12.2023.</t>
  </si>
  <si>
    <t>IZVRŠENJE 1-12-2023.</t>
  </si>
  <si>
    <t>Informatička oprema</t>
  </si>
  <si>
    <t>,</t>
  </si>
  <si>
    <t>Službena,radna i zaštitna odjeća i obuća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</si>
</sst>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_ ;\-#,##0.00\ "/>
  </numFmts>
  <fonts count="20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6"/>
      <name val="Arial"/>
      <family val="2"/>
      <charset val="238"/>
    </font>
    <font>
      <sz val="8"/>
      <color indexed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b/>
      <sz val="8"/>
      <color indexed="8"/>
      <name val="Arial"/>
      <family val="2"/>
      <charset val="238"/>
    </font>
    <font>
      <sz val="6"/>
      <color indexed="8"/>
      <name val="Arial"/>
      <family val="2"/>
      <charset val="238"/>
    </font>
    <font>
      <sz val="6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66FF"/>
        <bgColor indexed="0"/>
      </patternFill>
    </fill>
    <fill>
      <patternFill patternType="solid">
        <fgColor rgb="FF66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7" fillId="0" borderId="3" xfId="0" applyFont="1" applyBorder="1" applyAlignment="1" applyProtection="1">
      <alignment wrapText="1" readingOrder="1"/>
      <protection locked="0"/>
    </xf>
    <xf numFmtId="0" fontId="10" fillId="0" borderId="0" xfId="0" applyFont="1"/>
    <xf numFmtId="0" fontId="1" fillId="0" borderId="0" xfId="0" applyFont="1"/>
    <xf numFmtId="0" fontId="8" fillId="0" borderId="0" xfId="0" applyFont="1"/>
    <xf numFmtId="0" fontId="10" fillId="0" borderId="3" xfId="0" applyFont="1" applyBorder="1" applyAlignment="1" applyProtection="1">
      <alignment horizontal="left" wrapText="1" readingOrder="1"/>
      <protection locked="0"/>
    </xf>
    <xf numFmtId="0" fontId="10" fillId="0" borderId="4" xfId="0" applyFont="1" applyBorder="1" applyAlignment="1">
      <alignment readingOrder="1"/>
    </xf>
    <xf numFmtId="0" fontId="7" fillId="0" borderId="3" xfId="0" applyFont="1" applyBorder="1" applyAlignment="1" applyProtection="1">
      <alignment horizontal="left" wrapText="1" readingOrder="1"/>
      <protection locked="0"/>
    </xf>
    <xf numFmtId="0" fontId="7" fillId="0" borderId="4" xfId="0" applyFont="1" applyBorder="1" applyAlignment="1" applyProtection="1">
      <alignment wrapText="1" readingOrder="1"/>
      <protection locked="0"/>
    </xf>
    <xf numFmtId="4" fontId="5" fillId="2" borderId="4" xfId="0" applyNumberFormat="1" applyFont="1" applyFill="1" applyBorder="1" applyProtection="1">
      <protection locked="0"/>
    </xf>
    <xf numFmtId="4" fontId="5" fillId="5" borderId="4" xfId="0" applyNumberFormat="1" applyFont="1" applyFill="1" applyBorder="1" applyProtection="1">
      <protection locked="0"/>
    </xf>
    <xf numFmtId="4" fontId="5" fillId="6" borderId="4" xfId="0" applyNumberFormat="1" applyFont="1" applyFill="1" applyBorder="1" applyProtection="1">
      <protection locked="0"/>
    </xf>
    <xf numFmtId="4" fontId="5" fillId="7" borderId="4" xfId="0" applyNumberFormat="1" applyFont="1" applyFill="1" applyBorder="1" applyProtection="1">
      <protection locked="0"/>
    </xf>
    <xf numFmtId="4" fontId="6" fillId="3" borderId="4" xfId="0" applyNumberFormat="1" applyFont="1" applyFill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" fontId="3" fillId="0" borderId="14" xfId="0" applyNumberFormat="1" applyFont="1" applyBorder="1" applyAlignment="1">
      <alignment horizontal="right" wrapText="1"/>
    </xf>
    <xf numFmtId="0" fontId="3" fillId="0" borderId="17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4" fontId="2" fillId="0" borderId="14" xfId="0" applyNumberFormat="1" applyFont="1" applyBorder="1"/>
    <xf numFmtId="0" fontId="3" fillId="0" borderId="0" xfId="0" quotePrefix="1" applyFont="1" applyAlignment="1">
      <alignment horizontal="left" wrapText="1"/>
    </xf>
    <xf numFmtId="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4" fontId="5" fillId="9" borderId="4" xfId="0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horizontal="left" wrapText="1" readingOrder="1"/>
      <protection locked="0"/>
    </xf>
    <xf numFmtId="4" fontId="6" fillId="0" borderId="4" xfId="0" applyNumberFormat="1" applyFont="1" applyBorder="1" applyProtection="1"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7" fillId="0" borderId="4" xfId="0" applyFont="1" applyBorder="1" applyAlignment="1" applyProtection="1">
      <alignment horizontal="left" wrapText="1" readingOrder="1"/>
      <protection locked="0"/>
    </xf>
    <xf numFmtId="0" fontId="7" fillId="0" borderId="3" xfId="0" applyFont="1" applyBorder="1" applyAlignment="1" applyProtection="1">
      <alignment horizontal="left" vertical="center" wrapText="1" readingOrder="1"/>
      <protection locked="0"/>
    </xf>
    <xf numFmtId="0" fontId="7" fillId="0" borderId="8" xfId="0" applyFont="1" applyBorder="1" applyAlignment="1" applyProtection="1">
      <alignment wrapText="1" readingOrder="1"/>
      <protection locked="0"/>
    </xf>
    <xf numFmtId="0" fontId="7" fillId="0" borderId="9" xfId="0" applyFont="1" applyBorder="1" applyAlignment="1" applyProtection="1">
      <alignment wrapText="1" readingOrder="1"/>
      <protection locked="0"/>
    </xf>
    <xf numFmtId="4" fontId="7" fillId="0" borderId="9" xfId="0" applyNumberFormat="1" applyFont="1" applyBorder="1" applyProtection="1">
      <protection locked="0"/>
    </xf>
    <xf numFmtId="4" fontId="9" fillId="0" borderId="4" xfId="0" applyNumberFormat="1" applyFont="1" applyBorder="1"/>
    <xf numFmtId="0" fontId="9" fillId="0" borderId="3" xfId="0" applyFont="1" applyBorder="1" applyAlignment="1" applyProtection="1">
      <alignment horizontal="left" wrapText="1" readingOrder="1"/>
      <protection locked="0"/>
    </xf>
    <xf numFmtId="0" fontId="9" fillId="0" borderId="4" xfId="0" applyFont="1" applyBorder="1" applyAlignment="1">
      <alignment horizontal="left" readingOrder="1"/>
    </xf>
    <xf numFmtId="4" fontId="10" fillId="0" borderId="4" xfId="0" applyNumberFormat="1" applyFont="1" applyBorder="1"/>
    <xf numFmtId="0" fontId="9" fillId="0" borderId="4" xfId="0" applyFont="1" applyBorder="1" applyAlignment="1">
      <alignment horizontal="left"/>
    </xf>
    <xf numFmtId="0" fontId="6" fillId="0" borderId="3" xfId="0" applyFont="1" applyBorder="1" applyAlignment="1" applyProtection="1">
      <alignment horizontal="left" vertical="center" wrapText="1" readingOrder="1"/>
      <protection locked="0"/>
    </xf>
    <xf numFmtId="4" fontId="10" fillId="0" borderId="9" xfId="0" applyNumberFormat="1" applyFont="1" applyBorder="1"/>
    <xf numFmtId="4" fontId="9" fillId="0" borderId="4" xfId="0" applyNumberFormat="1" applyFont="1" applyBorder="1" applyProtection="1">
      <protection locked="0"/>
    </xf>
    <xf numFmtId="4" fontId="9" fillId="4" borderId="4" xfId="0" applyNumberFormat="1" applyFont="1" applyFill="1" applyBorder="1" applyProtection="1">
      <protection locked="0"/>
    </xf>
    <xf numFmtId="4" fontId="10" fillId="0" borderId="4" xfId="0" applyNumberFormat="1" applyFont="1" applyBorder="1" applyProtection="1">
      <protection locked="0"/>
    </xf>
    <xf numFmtId="0" fontId="8" fillId="0" borderId="0" xfId="0" applyFont="1" applyAlignment="1">
      <alignment horizontal="left" vertical="center"/>
    </xf>
    <xf numFmtId="4" fontId="6" fillId="0" borderId="4" xfId="0" applyNumberFormat="1" applyFont="1" applyBorder="1" applyAlignment="1" applyProtection="1">
      <alignment horizontal="right" vertical="center"/>
      <protection locked="0"/>
    </xf>
    <xf numFmtId="4" fontId="6" fillId="4" borderId="4" xfId="0" applyNumberFormat="1" applyFont="1" applyFill="1" applyBorder="1" applyProtection="1">
      <protection locked="0"/>
    </xf>
    <xf numFmtId="0" fontId="6" fillId="0" borderId="4" xfId="0" applyFont="1" applyBorder="1" applyAlignment="1" applyProtection="1">
      <alignment wrapText="1" readingOrder="1"/>
      <protection locked="0"/>
    </xf>
    <xf numFmtId="4" fontId="11" fillId="9" borderId="4" xfId="0" applyNumberFormat="1" applyFont="1" applyFill="1" applyBorder="1" applyAlignment="1" applyProtection="1">
      <alignment vertical="center"/>
      <protection locked="0"/>
    </xf>
    <xf numFmtId="4" fontId="11" fillId="10" borderId="4" xfId="0" applyNumberFormat="1" applyFont="1" applyFill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4" fontId="5" fillId="2" borderId="2" xfId="0" applyNumberFormat="1" applyFont="1" applyFill="1" applyBorder="1" applyProtection="1">
      <protection locked="0"/>
    </xf>
    <xf numFmtId="0" fontId="9" fillId="0" borderId="4" xfId="0" applyFont="1" applyBorder="1"/>
    <xf numFmtId="0" fontId="9" fillId="0" borderId="4" xfId="0" applyFont="1" applyBorder="1" applyAlignment="1" applyProtection="1">
      <alignment wrapText="1" readingOrder="1"/>
      <protection locked="0"/>
    </xf>
    <xf numFmtId="0" fontId="10" fillId="0" borderId="4" xfId="0" applyFont="1" applyBorder="1"/>
    <xf numFmtId="0" fontId="10" fillId="0" borderId="4" xfId="0" applyFont="1" applyBorder="1" applyAlignment="1" applyProtection="1">
      <alignment wrapText="1" readingOrder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6" fillId="0" borderId="4" xfId="0" applyFont="1" applyBorder="1" applyAlignment="1" applyProtection="1">
      <alignment readingOrder="1"/>
      <protection locked="0"/>
    </xf>
    <xf numFmtId="4" fontId="6" fillId="0" borderId="4" xfId="0" applyNumberFormat="1" applyFont="1" applyBorder="1" applyAlignment="1" applyProtection="1">
      <alignment wrapText="1" readingOrder="1"/>
      <protection locked="0"/>
    </xf>
    <xf numFmtId="4" fontId="7" fillId="0" borderId="4" xfId="0" applyNumberFormat="1" applyFont="1" applyBorder="1" applyAlignment="1" applyProtection="1">
      <alignment wrapText="1" readingOrder="1"/>
      <protection locked="0"/>
    </xf>
    <xf numFmtId="0" fontId="7" fillId="0" borderId="4" xfId="0" applyFont="1" applyBorder="1" applyAlignment="1" applyProtection="1">
      <alignment horizontal="left" readingOrder="1"/>
      <protection locked="0"/>
    </xf>
    <xf numFmtId="0" fontId="6" fillId="0" borderId="4" xfId="0" applyFont="1" applyBorder="1" applyAlignment="1" applyProtection="1">
      <alignment horizontal="left" readingOrder="1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6" fillId="0" borderId="4" xfId="0" applyFont="1" applyBorder="1" applyAlignment="1" applyProtection="1">
      <alignment horizontal="center" readingOrder="1"/>
      <protection locked="0"/>
    </xf>
    <xf numFmtId="0" fontId="10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4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9" fillId="0" borderId="3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>
      <alignment horizontal="left" vertical="center" wrapText="1" readingOrder="1"/>
    </xf>
    <xf numFmtId="0" fontId="9" fillId="0" borderId="0" xfId="0" applyFont="1" applyAlignment="1">
      <alignment horizontal="left" vertical="center" readingOrder="1"/>
    </xf>
    <xf numFmtId="0" fontId="10" fillId="0" borderId="3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left" vertical="center" readingOrder="1"/>
    </xf>
    <xf numFmtId="0" fontId="9" fillId="0" borderId="3" xfId="0" applyFont="1" applyBorder="1" applyAlignment="1">
      <alignment horizontal="center" vertical="center" readingOrder="1"/>
    </xf>
    <xf numFmtId="0" fontId="15" fillId="0" borderId="3" xfId="0" applyFont="1" applyBorder="1" applyAlignment="1">
      <alignment horizontal="center" vertical="center" readingOrder="1"/>
    </xf>
    <xf numFmtId="0" fontId="15" fillId="0" borderId="4" xfId="0" applyFont="1" applyBorder="1" applyAlignment="1">
      <alignment horizontal="left" vertical="center" wrapText="1" readingOrder="1"/>
    </xf>
    <xf numFmtId="0" fontId="15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 readingOrder="1"/>
    </xf>
    <xf numFmtId="0" fontId="11" fillId="11" borderId="3" xfId="0" applyFont="1" applyFill="1" applyBorder="1" applyAlignment="1">
      <alignment horizontal="center" vertical="center"/>
    </xf>
    <xf numFmtId="0" fontId="11" fillId="11" borderId="4" xfId="0" applyFont="1" applyFill="1" applyBorder="1" applyAlignment="1">
      <alignment vertical="center"/>
    </xf>
    <xf numFmtId="0" fontId="15" fillId="0" borderId="0" xfId="0" applyFont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4" fontId="9" fillId="4" borderId="4" xfId="0" applyNumberFormat="1" applyFont="1" applyFill="1" applyBorder="1"/>
    <xf numFmtId="0" fontId="9" fillId="0" borderId="3" xfId="0" applyFont="1" applyBorder="1" applyAlignment="1" applyProtection="1">
      <alignment horizontal="left" vertical="center" wrapText="1" readingOrder="1"/>
      <protection locked="0"/>
    </xf>
    <xf numFmtId="4" fontId="9" fillId="0" borderId="4" xfId="0" applyNumberFormat="1" applyFont="1" applyBorder="1" applyAlignment="1">
      <alignment vertical="center"/>
    </xf>
    <xf numFmtId="0" fontId="7" fillId="0" borderId="3" xfId="0" applyFont="1" applyBorder="1" applyAlignment="1" applyProtection="1">
      <alignment vertical="center" wrapText="1" readingOrder="1"/>
      <protection locked="0"/>
    </xf>
    <xf numFmtId="4" fontId="10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11" fillId="10" borderId="14" xfId="0" applyNumberFormat="1" applyFont="1" applyFill="1" applyBorder="1"/>
    <xf numFmtId="4" fontId="11" fillId="9" borderId="2" xfId="1" applyNumberFormat="1" applyFont="1" applyFill="1" applyBorder="1" applyAlignment="1" applyProtection="1">
      <alignment horizontal="right" vertical="center" wrapText="1" readingOrder="1"/>
      <protection locked="0"/>
    </xf>
    <xf numFmtId="4" fontId="9" fillId="13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9" fillId="0" borderId="4" xfId="0" applyFont="1" applyBorder="1" applyAlignment="1">
      <alignment vertical="center" wrapText="1"/>
    </xf>
    <xf numFmtId="4" fontId="9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3" xfId="0" applyFont="1" applyBorder="1" applyAlignment="1" applyProtection="1">
      <alignment horizontal="left" vertical="center" wrapText="1" readingOrder="1"/>
      <protection locked="0"/>
    </xf>
    <xf numFmtId="0" fontId="10" fillId="0" borderId="4" xfId="0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8" xfId="0" applyFont="1" applyBorder="1" applyAlignment="1" applyProtection="1">
      <alignment horizontal="left" vertical="center" wrapText="1" readingOrder="1"/>
      <protection locked="0"/>
    </xf>
    <xf numFmtId="4" fontId="10" fillId="0" borderId="9" xfId="1" applyNumberFormat="1" applyFont="1" applyFill="1" applyBorder="1" applyAlignment="1" applyProtection="1">
      <alignment horizontal="right" vertical="center" wrapText="1" readingOrder="1"/>
      <protection locked="0"/>
    </xf>
    <xf numFmtId="0" fontId="18" fillId="0" borderId="0" xfId="0" applyFont="1"/>
    <xf numFmtId="4" fontId="10" fillId="0" borderId="0" xfId="1" applyNumberFormat="1" applyFont="1" applyAlignment="1">
      <alignment horizontal="right"/>
    </xf>
    <xf numFmtId="4" fontId="11" fillId="9" borderId="23" xfId="1" applyNumberFormat="1" applyFont="1" applyFill="1" applyBorder="1" applyAlignment="1" applyProtection="1">
      <alignment horizontal="right" vertical="center" wrapText="1" readingOrder="1"/>
      <protection locked="0"/>
    </xf>
    <xf numFmtId="165" fontId="10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0" fontId="17" fillId="0" borderId="0" xfId="0" applyFont="1"/>
    <xf numFmtId="1" fontId="16" fillId="0" borderId="14" xfId="1" applyNumberFormat="1" applyFont="1" applyBorder="1" applyAlignment="1" applyProtection="1">
      <alignment horizontal="center" vertical="center" wrapText="1"/>
      <protection locked="0"/>
    </xf>
    <xf numFmtId="0" fontId="11" fillId="11" borderId="1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vertical="center"/>
    </xf>
    <xf numFmtId="165" fontId="11" fillId="11" borderId="2" xfId="1" applyNumberFormat="1" applyFont="1" applyFill="1" applyBorder="1" applyAlignment="1">
      <alignment horizontal="right" vertical="center"/>
    </xf>
    <xf numFmtId="165" fontId="10" fillId="0" borderId="4" xfId="1" applyNumberFormat="1" applyFont="1" applyBorder="1" applyAlignment="1">
      <alignment horizontal="right" vertical="center" readingOrder="1"/>
    </xf>
    <xf numFmtId="165" fontId="9" fillId="0" borderId="4" xfId="1" applyNumberFormat="1" applyFont="1" applyBorder="1" applyAlignment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 readingOrder="1"/>
    </xf>
    <xf numFmtId="165" fontId="4" fillId="0" borderId="4" xfId="1" applyNumberFormat="1" applyFont="1" applyFill="1" applyBorder="1" applyAlignment="1" applyProtection="1">
      <alignment horizontal="right" vertical="center" readingOrder="1"/>
    </xf>
    <xf numFmtId="165" fontId="15" fillId="0" borderId="4" xfId="1" applyNumberFormat="1" applyFont="1" applyFill="1" applyBorder="1" applyAlignment="1" applyProtection="1">
      <alignment horizontal="right" vertical="center"/>
    </xf>
    <xf numFmtId="165" fontId="4" fillId="0" borderId="4" xfId="1" applyNumberFormat="1" applyFont="1" applyFill="1" applyBorder="1" applyAlignment="1" applyProtection="1">
      <alignment horizontal="right" vertical="center"/>
    </xf>
    <xf numFmtId="165" fontId="11" fillId="12" borderId="9" xfId="1" applyNumberFormat="1" applyFont="1" applyFill="1" applyBorder="1" applyAlignment="1" applyProtection="1">
      <alignment horizontal="right" vertical="center"/>
    </xf>
    <xf numFmtId="0" fontId="0" fillId="10" borderId="1" xfId="0" applyFill="1" applyBorder="1"/>
    <xf numFmtId="0" fontId="0" fillId="4" borderId="3" xfId="0" applyFill="1" applyBorder="1"/>
    <xf numFmtId="0" fontId="9" fillId="0" borderId="4" xfId="0" applyFont="1" applyBorder="1" applyAlignment="1" applyProtection="1">
      <alignment horizontal="left" vertical="center" wrapText="1" readingOrder="1"/>
      <protection locked="0"/>
    </xf>
    <xf numFmtId="0" fontId="10" fillId="0" borderId="4" xfId="0" applyFont="1" applyBorder="1" applyAlignment="1" applyProtection="1">
      <alignment horizontal="left" vertical="center" wrapText="1" readingOrder="1"/>
      <protection locked="0"/>
    </xf>
    <xf numFmtId="0" fontId="14" fillId="10" borderId="22" xfId="0" applyFont="1" applyFill="1" applyBorder="1"/>
    <xf numFmtId="0" fontId="11" fillId="11" borderId="2" xfId="0" applyFont="1" applyFill="1" applyBorder="1" applyAlignment="1">
      <alignment vertical="center" wrapText="1"/>
    </xf>
    <xf numFmtId="165" fontId="11" fillId="11" borderId="2" xfId="1" applyNumberFormat="1" applyFont="1" applyFill="1" applyBorder="1" applyAlignment="1" applyProtection="1">
      <alignment horizontal="right" vertical="center"/>
    </xf>
    <xf numFmtId="165" fontId="15" fillId="0" borderId="4" xfId="1" applyNumberFormat="1" applyFont="1" applyFill="1" applyBorder="1" applyAlignment="1" applyProtection="1">
      <alignment horizontal="right"/>
    </xf>
    <xf numFmtId="0" fontId="4" fillId="0" borderId="4" xfId="0" applyFont="1" applyBorder="1" applyAlignment="1">
      <alignment vertical="center" wrapText="1"/>
    </xf>
    <xf numFmtId="165" fontId="4" fillId="0" borderId="4" xfId="1" applyNumberFormat="1" applyFont="1" applyFill="1" applyBorder="1" applyAlignment="1" applyProtection="1">
      <alignment horizontal="right"/>
    </xf>
    <xf numFmtId="0" fontId="11" fillId="11" borderId="4" xfId="0" applyFont="1" applyFill="1" applyBorder="1" applyAlignment="1">
      <alignment vertical="center" wrapText="1"/>
    </xf>
    <xf numFmtId="165" fontId="11" fillId="11" borderId="4" xfId="1" applyNumberFormat="1" applyFont="1" applyFill="1" applyBorder="1" applyAlignment="1" applyProtection="1">
      <alignment horizontal="right" vertical="center"/>
    </xf>
    <xf numFmtId="0" fontId="11" fillId="12" borderId="9" xfId="0" applyFont="1" applyFill="1" applyBorder="1" applyAlignment="1">
      <alignment vertical="center" wrapText="1"/>
    </xf>
    <xf numFmtId="10" fontId="0" fillId="0" borderId="0" xfId="0" applyNumberFormat="1"/>
    <xf numFmtId="10" fontId="4" fillId="0" borderId="14" xfId="0" applyNumberFormat="1" applyFont="1" applyBorder="1" applyAlignment="1" applyProtection="1">
      <alignment horizontal="center" vertical="center" wrapText="1"/>
      <protection locked="0"/>
    </xf>
    <xf numFmtId="1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center" vertical="center" wrapText="1" readingOrder="1"/>
      <protection locked="0"/>
    </xf>
    <xf numFmtId="0" fontId="9" fillId="4" borderId="4" xfId="0" applyFont="1" applyFill="1" applyBorder="1" applyAlignment="1">
      <alignment horizontal="left" vertical="center" wrapText="1" readingOrder="1"/>
    </xf>
    <xf numFmtId="165" fontId="9" fillId="4" borderId="4" xfId="1" applyNumberFormat="1" applyFont="1" applyFill="1" applyBorder="1" applyAlignment="1">
      <alignment horizontal="right" vertical="center" readingOrder="1"/>
    </xf>
    <xf numFmtId="0" fontId="11" fillId="11" borderId="3" xfId="0" applyFont="1" applyFill="1" applyBorder="1" applyAlignment="1" applyProtection="1">
      <alignment horizontal="center" vertical="center" wrapText="1" readingOrder="1"/>
      <protection locked="0"/>
    </xf>
    <xf numFmtId="165" fontId="11" fillId="11" borderId="4" xfId="1" applyNumberFormat="1" applyFont="1" applyFill="1" applyBorder="1" applyAlignment="1">
      <alignment horizontal="right" vertical="center" readingOrder="1"/>
    </xf>
    <xf numFmtId="0" fontId="11" fillId="11" borderId="4" xfId="0" applyFont="1" applyFill="1" applyBorder="1" applyAlignment="1">
      <alignment horizontal="left" vertical="center" wrapText="1" readingOrder="1"/>
    </xf>
    <xf numFmtId="0" fontId="11" fillId="11" borderId="3" xfId="0" applyFont="1" applyFill="1" applyBorder="1" applyAlignment="1">
      <alignment horizontal="center" vertical="center" readingOrder="1"/>
    </xf>
    <xf numFmtId="0" fontId="11" fillId="11" borderId="4" xfId="0" applyFont="1" applyFill="1" applyBorder="1" applyAlignment="1">
      <alignment horizontal="left" vertical="center" readingOrder="1"/>
    </xf>
    <xf numFmtId="165" fontId="10" fillId="0" borderId="0" xfId="0" applyNumberFormat="1" applyFont="1" applyAlignment="1">
      <alignment horizontal="left" vertical="center" readingOrder="1"/>
    </xf>
    <xf numFmtId="165" fontId="4" fillId="0" borderId="0" xfId="0" applyNumberFormat="1" applyFont="1"/>
    <xf numFmtId="0" fontId="11" fillId="0" borderId="0" xfId="0" applyFont="1" applyAlignment="1">
      <alignment horizontal="center" vertical="center"/>
    </xf>
    <xf numFmtId="165" fontId="11" fillId="0" borderId="0" xfId="1" applyNumberFormat="1" applyFont="1" applyFill="1" applyBorder="1" applyAlignment="1" applyProtection="1">
      <alignment horizontal="righ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165" fontId="4" fillId="0" borderId="28" xfId="1" applyNumberFormat="1" applyFont="1" applyFill="1" applyBorder="1" applyAlignment="1" applyProtection="1">
      <alignment horizontal="right" vertical="center"/>
    </xf>
    <xf numFmtId="0" fontId="9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165" fontId="15" fillId="0" borderId="0" xfId="0" applyNumberFormat="1" applyFont="1" applyAlignment="1">
      <alignment horizontal="left" vertical="center" readingOrder="1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readingOrder="1"/>
    </xf>
    <xf numFmtId="165" fontId="15" fillId="0" borderId="0" xfId="0" applyNumberFormat="1" applyFont="1" applyAlignment="1">
      <alignment vertical="center"/>
    </xf>
    <xf numFmtId="0" fontId="13" fillId="0" borderId="0" xfId="0" applyFont="1" applyAlignment="1" applyProtection="1">
      <alignment vertical="top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1" fillId="0" borderId="17" xfId="0" applyFont="1" applyBorder="1"/>
    <xf numFmtId="0" fontId="2" fillId="0" borderId="0" xfId="0" applyFont="1" applyAlignment="1">
      <alignment vertical="center"/>
    </xf>
    <xf numFmtId="4" fontId="3" fillId="0" borderId="14" xfId="0" applyNumberFormat="1" applyFont="1" applyBorder="1" applyAlignment="1">
      <alignment horizontal="right"/>
    </xf>
    <xf numFmtId="0" fontId="8" fillId="0" borderId="15" xfId="0" applyFont="1" applyBorder="1" applyAlignment="1">
      <alignment horizontal="left"/>
    </xf>
    <xf numFmtId="4" fontId="3" fillId="0" borderId="14" xfId="0" applyNumberFormat="1" applyFont="1" applyBorder="1"/>
    <xf numFmtId="0" fontId="3" fillId="0" borderId="17" xfId="0" quotePrefix="1" applyFont="1" applyBorder="1" applyAlignment="1">
      <alignment horizontal="left"/>
    </xf>
    <xf numFmtId="0" fontId="3" fillId="14" borderId="16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 wrapText="1"/>
    </xf>
    <xf numFmtId="4" fontId="1" fillId="0" borderId="14" xfId="0" applyNumberFormat="1" applyFont="1" applyBorder="1"/>
    <xf numFmtId="4" fontId="1" fillId="0" borderId="14" xfId="0" applyNumberFormat="1" applyFont="1" applyBorder="1" applyAlignment="1">
      <alignment wrapText="1"/>
    </xf>
    <xf numFmtId="0" fontId="3" fillId="8" borderId="14" xfId="0" applyFont="1" applyFill="1" applyBorder="1" applyAlignment="1">
      <alignment horizontal="center" vertical="center" wrapText="1"/>
    </xf>
    <xf numFmtId="4" fontId="10" fillId="0" borderId="0" xfId="0" applyNumberFormat="1" applyFont="1"/>
    <xf numFmtId="4" fontId="4" fillId="0" borderId="0" xfId="0" applyNumberFormat="1" applyFont="1"/>
    <xf numFmtId="4" fontId="10" fillId="0" borderId="0" xfId="1" applyNumberFormat="1" applyFont="1" applyBorder="1" applyAlignment="1">
      <alignment horizontal="right"/>
    </xf>
    <xf numFmtId="4" fontId="4" fillId="0" borderId="14" xfId="1" applyNumberFormat="1" applyFont="1" applyBorder="1" applyAlignment="1" applyProtection="1">
      <alignment horizontal="center" vertical="center"/>
      <protection locked="0"/>
    </xf>
    <xf numFmtId="4" fontId="16" fillId="0" borderId="14" xfId="1" applyNumberFormat="1" applyFont="1" applyBorder="1" applyAlignment="1" applyProtection="1">
      <alignment horizontal="center" vertical="center"/>
      <protection locked="0"/>
    </xf>
    <xf numFmtId="4" fontId="11" fillId="11" borderId="18" xfId="2" applyNumberFormat="1" applyFont="1" applyFill="1" applyBorder="1" applyAlignment="1">
      <alignment horizontal="right" vertical="center"/>
    </xf>
    <xf numFmtId="4" fontId="10" fillId="0" borderId="19" xfId="2" applyNumberFormat="1" applyFont="1" applyBorder="1" applyAlignment="1">
      <alignment horizontal="right" vertical="center" readingOrder="1"/>
    </xf>
    <xf numFmtId="4" fontId="9" fillId="0" borderId="19" xfId="2" applyNumberFormat="1" applyFont="1" applyBorder="1" applyAlignment="1">
      <alignment horizontal="right" vertical="center" readingOrder="1"/>
    </xf>
    <xf numFmtId="4" fontId="15" fillId="0" borderId="19" xfId="2" applyNumberFormat="1" applyFont="1" applyFill="1" applyBorder="1" applyAlignment="1" applyProtection="1">
      <alignment horizontal="right" vertical="center" readingOrder="1"/>
    </xf>
    <xf numFmtId="4" fontId="4" fillId="0" borderId="19" xfId="2" applyNumberFormat="1" applyFont="1" applyFill="1" applyBorder="1" applyAlignment="1" applyProtection="1">
      <alignment horizontal="right" vertical="center" readingOrder="1"/>
    </xf>
    <xf numFmtId="4" fontId="11" fillId="11" borderId="19" xfId="2" applyNumberFormat="1" applyFont="1" applyFill="1" applyBorder="1" applyAlignment="1" applyProtection="1">
      <alignment horizontal="right" vertical="center"/>
    </xf>
    <xf numFmtId="4" fontId="15" fillId="0" borderId="19" xfId="2" applyNumberFormat="1" applyFont="1" applyFill="1" applyBorder="1" applyAlignment="1" applyProtection="1">
      <alignment horizontal="right" vertical="center"/>
    </xf>
    <xf numFmtId="4" fontId="4" fillId="0" borderId="19" xfId="2" applyNumberFormat="1" applyFont="1" applyFill="1" applyBorder="1" applyAlignment="1" applyProtection="1">
      <alignment horizontal="right" vertical="center"/>
    </xf>
    <xf numFmtId="4" fontId="4" fillId="0" borderId="29" xfId="2" applyNumberFormat="1" applyFont="1" applyFill="1" applyBorder="1" applyAlignment="1" applyProtection="1">
      <alignment horizontal="right" vertical="center"/>
    </xf>
    <xf numFmtId="4" fontId="11" fillId="12" borderId="9" xfId="1" applyNumberFormat="1" applyFont="1" applyFill="1" applyBorder="1" applyAlignment="1" applyProtection="1">
      <alignment horizontal="right" vertical="center"/>
    </xf>
    <xf numFmtId="4" fontId="11" fillId="12" borderId="20" xfId="2" applyNumberFormat="1" applyFont="1" applyFill="1" applyBorder="1" applyAlignment="1" applyProtection="1">
      <alignment horizontal="right" vertical="center"/>
    </xf>
    <xf numFmtId="4" fontId="11" fillId="0" borderId="0" xfId="2" applyNumberFormat="1" applyFont="1" applyFill="1" applyBorder="1" applyAlignment="1" applyProtection="1">
      <alignment horizontal="right" vertical="center"/>
    </xf>
    <xf numFmtId="4" fontId="4" fillId="0" borderId="0" xfId="1" applyNumberFormat="1" applyFont="1" applyFill="1" applyBorder="1" applyAlignment="1" applyProtection="1">
      <alignment horizontal="right"/>
    </xf>
    <xf numFmtId="4" fontId="11" fillId="11" borderId="18" xfId="2" applyNumberFormat="1" applyFont="1" applyFill="1" applyBorder="1" applyAlignment="1" applyProtection="1">
      <alignment horizontal="right" vertical="center"/>
    </xf>
    <xf numFmtId="4" fontId="15" fillId="0" borderId="19" xfId="2" applyNumberFormat="1" applyFont="1" applyFill="1" applyBorder="1" applyAlignment="1" applyProtection="1">
      <alignment horizontal="right"/>
    </xf>
    <xf numFmtId="4" fontId="4" fillId="0" borderId="19" xfId="2" applyNumberFormat="1" applyFont="1" applyFill="1" applyBorder="1" applyAlignment="1" applyProtection="1">
      <alignment horizontal="right"/>
    </xf>
    <xf numFmtId="165" fontId="9" fillId="0" borderId="4" xfId="1" applyNumberFormat="1" applyFont="1" applyBorder="1" applyAlignment="1">
      <alignment horizontal="right" vertical="center"/>
    </xf>
    <xf numFmtId="4" fontId="9" fillId="0" borderId="19" xfId="2" applyNumberFormat="1" applyFont="1" applyBorder="1" applyAlignment="1">
      <alignment horizontal="right" vertical="center"/>
    </xf>
    <xf numFmtId="4" fontId="15" fillId="0" borderId="14" xfId="1" applyNumberFormat="1" applyFont="1" applyBorder="1" applyAlignment="1" applyProtection="1">
      <alignment horizontal="center" vertical="center"/>
      <protection locked="0"/>
    </xf>
    <xf numFmtId="4" fontId="9" fillId="4" borderId="19" xfId="2" applyNumberFormat="1" applyFont="1" applyFill="1" applyBorder="1" applyAlignment="1">
      <alignment horizontal="right" vertical="center" readingOrder="1"/>
    </xf>
    <xf numFmtId="4" fontId="11" fillId="11" borderId="19" xfId="2" applyNumberFormat="1" applyFont="1" applyFill="1" applyBorder="1" applyAlignment="1">
      <alignment horizontal="right" vertical="center" readingOrder="1"/>
    </xf>
    <xf numFmtId="4" fontId="0" fillId="0" borderId="0" xfId="0" applyNumberFormat="1"/>
    <xf numFmtId="4" fontId="4" fillId="0" borderId="14" xfId="0" applyNumberFormat="1" applyFont="1" applyBorder="1" applyAlignment="1" applyProtection="1">
      <alignment horizontal="center" vertical="center" wrapText="1"/>
      <protection locked="0"/>
    </xf>
    <xf numFmtId="4" fontId="16" fillId="0" borderId="14" xfId="0" applyNumberFormat="1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vertical="center" wrapText="1"/>
      <protection locked="0"/>
    </xf>
    <xf numFmtId="0" fontId="16" fillId="0" borderId="21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/>
    </xf>
    <xf numFmtId="0" fontId="7" fillId="0" borderId="13" xfId="0" applyFont="1" applyBorder="1" applyAlignment="1" applyProtection="1">
      <alignment wrapText="1" readingOrder="1"/>
      <protection locked="0"/>
    </xf>
    <xf numFmtId="0" fontId="7" fillId="0" borderId="6" xfId="0" applyFont="1" applyBorder="1" applyAlignment="1" applyProtection="1">
      <alignment horizontal="left" wrapText="1" readingOrder="1"/>
      <protection locked="0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4" fontId="9" fillId="0" borderId="0" xfId="0" applyNumberFormat="1" applyFont="1"/>
    <xf numFmtId="4" fontId="8" fillId="0" borderId="0" xfId="0" applyNumberFormat="1" applyFont="1"/>
    <xf numFmtId="165" fontId="10" fillId="0" borderId="4" xfId="1" applyNumberFormat="1" applyFont="1" applyBorder="1" applyAlignment="1">
      <alignment horizontal="right" vertical="center"/>
    </xf>
    <xf numFmtId="4" fontId="10" fillId="0" borderId="19" xfId="2" applyNumberFormat="1" applyFont="1" applyBorder="1" applyAlignment="1">
      <alignment horizontal="right" vertical="center"/>
    </xf>
    <xf numFmtId="4" fontId="19" fillId="0" borderId="9" xfId="0" applyNumberFormat="1" applyFont="1" applyBorder="1" applyProtection="1">
      <protection locked="0"/>
    </xf>
    <xf numFmtId="4" fontId="19" fillId="0" borderId="4" xfId="0" applyNumberFormat="1" applyFont="1" applyBorder="1"/>
    <xf numFmtId="0" fontId="7" fillId="0" borderId="13" xfId="0" applyFont="1" applyBorder="1" applyAlignment="1" applyProtection="1">
      <alignment horizontal="left" wrapText="1" readingOrder="1"/>
      <protection locked="0"/>
    </xf>
    <xf numFmtId="0" fontId="7" fillId="0" borderId="27" xfId="0" applyFont="1" applyBorder="1" applyAlignment="1" applyProtection="1">
      <alignment wrapText="1" readingOrder="1"/>
      <protection locked="0"/>
    </xf>
    <xf numFmtId="0" fontId="7" fillId="0" borderId="30" xfId="0" applyFont="1" applyBorder="1" applyAlignment="1" applyProtection="1">
      <alignment horizontal="left" wrapText="1" readingOrder="1"/>
      <protection locked="0"/>
    </xf>
    <xf numFmtId="0" fontId="7" fillId="0" borderId="31" xfId="0" applyFont="1" applyBorder="1" applyAlignment="1" applyProtection="1">
      <alignment horizontal="left" wrapText="1" readingOrder="1"/>
      <protection locked="0"/>
    </xf>
    <xf numFmtId="4" fontId="10" fillId="0" borderId="28" xfId="0" applyNumberFormat="1" applyFont="1" applyBorder="1"/>
    <xf numFmtId="4" fontId="19" fillId="0" borderId="28" xfId="0" applyNumberFormat="1" applyFont="1" applyBorder="1"/>
    <xf numFmtId="0" fontId="7" fillId="0" borderId="13" xfId="0" applyFont="1" applyBorder="1" applyAlignment="1" applyProtection="1">
      <alignment horizontal="left" vertical="center" wrapText="1" readingOrder="1"/>
      <protection locked="0"/>
    </xf>
    <xf numFmtId="0" fontId="7" fillId="0" borderId="6" xfId="0" applyFont="1" applyBorder="1" applyAlignment="1" applyProtection="1">
      <alignment horizontal="left" vertical="center" wrapText="1" readingOrder="1"/>
      <protection locked="0"/>
    </xf>
    <xf numFmtId="4" fontId="10" fillId="0" borderId="4" xfId="0" applyNumberFormat="1" applyFont="1" applyBorder="1" applyAlignment="1" applyProtection="1">
      <alignment horizontal="right"/>
      <protection locked="0"/>
    </xf>
    <xf numFmtId="4" fontId="9" fillId="0" borderId="4" xfId="0" applyNumberFormat="1" applyFont="1" applyBorder="1" applyAlignment="1" applyProtection="1">
      <alignment horizontal="right"/>
      <protection locked="0"/>
    </xf>
    <xf numFmtId="4" fontId="10" fillId="0" borderId="4" xfId="0" applyNumberFormat="1" applyFont="1" applyBorder="1" applyAlignment="1">
      <alignment horizontal="right"/>
    </xf>
    <xf numFmtId="0" fontId="3" fillId="14" borderId="14" xfId="0" quotePrefix="1" applyFont="1" applyFill="1" applyBorder="1" applyAlignment="1">
      <alignment horizontal="center" vertical="center" wrapText="1"/>
    </xf>
    <xf numFmtId="0" fontId="3" fillId="14" borderId="15" xfId="0" quotePrefix="1" applyFont="1" applyFill="1" applyBorder="1" applyAlignment="1">
      <alignment horizontal="center" vertical="center" wrapText="1"/>
    </xf>
    <xf numFmtId="0" fontId="3" fillId="14" borderId="17" xfId="0" quotePrefix="1" applyFont="1" applyFill="1" applyBorder="1" applyAlignment="1">
      <alignment horizontal="center" vertical="center" wrapText="1"/>
    </xf>
    <xf numFmtId="0" fontId="3" fillId="14" borderId="2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5" xfId="0" quotePrefix="1" applyFont="1" applyBorder="1" applyAlignment="1">
      <alignment horizontal="left" wrapText="1"/>
    </xf>
    <xf numFmtId="0" fontId="1" fillId="0" borderId="17" xfId="0" applyFont="1" applyBorder="1" applyAlignment="1">
      <alignment wrapText="1"/>
    </xf>
    <xf numFmtId="0" fontId="3" fillId="8" borderId="15" xfId="0" quotePrefix="1" applyFont="1" applyFill="1" applyBorder="1" applyAlignment="1">
      <alignment horizontal="center" vertical="center" wrapText="1"/>
    </xf>
    <xf numFmtId="0" fontId="3" fillId="8" borderId="17" xfId="0" quotePrefix="1" applyFont="1" applyFill="1" applyBorder="1" applyAlignment="1">
      <alignment horizontal="center" vertical="center" wrapText="1"/>
    </xf>
    <xf numFmtId="0" fontId="3" fillId="8" borderId="21" xfId="0" quotePrefix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vertical="top" wrapText="1" readingOrder="1"/>
      <protection locked="0"/>
    </xf>
    <xf numFmtId="0" fontId="1" fillId="0" borderId="0" xfId="0" applyFont="1"/>
    <xf numFmtId="0" fontId="13" fillId="0" borderId="0" xfId="0" applyFont="1" applyAlignment="1" applyProtection="1">
      <alignment horizontal="left"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4" xfId="0" applyFont="1" applyBorder="1" applyAlignment="1">
      <alignment horizontal="left" wrapText="1"/>
    </xf>
    <xf numFmtId="0" fontId="1" fillId="0" borderId="14" xfId="0" applyFont="1" applyBorder="1" applyAlignment="1">
      <alignment wrapText="1"/>
    </xf>
    <xf numFmtId="0" fontId="1" fillId="0" borderId="14" xfId="0" applyFont="1" applyBorder="1"/>
    <xf numFmtId="0" fontId="3" fillId="0" borderId="14" xfId="0" applyFont="1" applyBorder="1" applyAlignment="1">
      <alignment horizontal="left" wrapText="1"/>
    </xf>
    <xf numFmtId="0" fontId="2" fillId="0" borderId="14" xfId="0" applyFont="1" applyBorder="1" applyAlignment="1">
      <alignment wrapText="1"/>
    </xf>
    <xf numFmtId="0" fontId="2" fillId="0" borderId="14" xfId="0" applyFont="1" applyBorder="1"/>
    <xf numFmtId="0" fontId="3" fillId="0" borderId="0" xfId="0" quotePrefix="1" applyFont="1" applyAlignment="1">
      <alignment horizontal="center" vertical="center" wrapText="1"/>
    </xf>
    <xf numFmtId="0" fontId="1" fillId="0" borderId="15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1" fillId="0" borderId="17" xfId="0" applyFont="1" applyBorder="1"/>
    <xf numFmtId="0" fontId="1" fillId="0" borderId="15" xfId="0" quotePrefix="1" applyFont="1" applyBorder="1" applyAlignment="1">
      <alignment horizontal="left"/>
    </xf>
    <xf numFmtId="0" fontId="1" fillId="0" borderId="15" xfId="0" quotePrefix="1" applyFont="1" applyBorder="1" applyAlignment="1">
      <alignment horizontal="left" wrapText="1"/>
    </xf>
    <xf numFmtId="1" fontId="17" fillId="0" borderId="15" xfId="0" applyNumberFormat="1" applyFont="1" applyBorder="1" applyAlignment="1">
      <alignment horizontal="center" vertical="center" wrapText="1"/>
    </xf>
    <xf numFmtId="1" fontId="17" fillId="0" borderId="2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5" fillId="9" borderId="3" xfId="0" applyFont="1" applyFill="1" applyBorder="1" applyAlignment="1" applyProtection="1">
      <alignment wrapText="1" readingOrder="1"/>
      <protection locked="0"/>
    </xf>
    <xf numFmtId="0" fontId="5" fillId="9" borderId="4" xfId="0" applyFont="1" applyFill="1" applyBorder="1" applyAlignment="1" applyProtection="1">
      <alignment wrapText="1" readingOrder="1"/>
      <protection locked="0"/>
    </xf>
    <xf numFmtId="0" fontId="9" fillId="4" borderId="3" xfId="0" applyFont="1" applyFill="1" applyBorder="1" applyAlignment="1" applyProtection="1">
      <alignment horizontal="left" wrapText="1" readingOrder="1"/>
      <protection locked="0"/>
    </xf>
    <xf numFmtId="0" fontId="9" fillId="4" borderId="4" xfId="0" applyFont="1" applyFill="1" applyBorder="1" applyAlignment="1" applyProtection="1">
      <alignment horizontal="left" wrapText="1" readingOrder="1"/>
      <protection locked="0"/>
    </xf>
    <xf numFmtId="0" fontId="5" fillId="2" borderId="1" xfId="0" applyFont="1" applyFill="1" applyBorder="1" applyAlignment="1" applyProtection="1">
      <alignment wrapText="1" readingOrder="1"/>
      <protection locked="0"/>
    </xf>
    <xf numFmtId="0" fontId="5" fillId="2" borderId="2" xfId="0" applyFont="1" applyFill="1" applyBorder="1" applyAlignment="1" applyProtection="1">
      <alignment wrapText="1" readingOrder="1"/>
      <protection locked="0"/>
    </xf>
    <xf numFmtId="0" fontId="5" fillId="2" borderId="3" xfId="0" applyFont="1" applyFill="1" applyBorder="1" applyAlignment="1" applyProtection="1">
      <alignment wrapText="1" readingOrder="1"/>
      <protection locked="0"/>
    </xf>
    <xf numFmtId="0" fontId="5" fillId="2" borderId="4" xfId="0" applyFont="1" applyFill="1" applyBorder="1" applyAlignment="1" applyProtection="1">
      <alignment wrapText="1" readingOrder="1"/>
      <protection locked="0"/>
    </xf>
    <xf numFmtId="0" fontId="8" fillId="0" borderId="0" xfId="0" applyFont="1" applyAlignment="1">
      <alignment horizontal="center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wrapText="1" readingOrder="1"/>
      <protection locked="0"/>
    </xf>
    <xf numFmtId="0" fontId="6" fillId="4" borderId="4" xfId="0" applyFont="1" applyFill="1" applyBorder="1" applyAlignment="1" applyProtection="1">
      <alignment wrapText="1" readingOrder="1"/>
      <protection locked="0"/>
    </xf>
    <xf numFmtId="0" fontId="5" fillId="5" borderId="3" xfId="0" applyFont="1" applyFill="1" applyBorder="1" applyAlignment="1" applyProtection="1">
      <alignment wrapText="1" readingOrder="1"/>
      <protection locked="0"/>
    </xf>
    <xf numFmtId="0" fontId="5" fillId="5" borderId="4" xfId="0" applyFont="1" applyFill="1" applyBorder="1" applyAlignment="1" applyProtection="1">
      <alignment wrapText="1" readingOrder="1"/>
      <protection locked="0"/>
    </xf>
    <xf numFmtId="0" fontId="5" fillId="6" borderId="3" xfId="0" applyFont="1" applyFill="1" applyBorder="1" applyAlignment="1" applyProtection="1">
      <alignment wrapText="1" readingOrder="1"/>
      <protection locked="0"/>
    </xf>
    <xf numFmtId="0" fontId="5" fillId="6" borderId="4" xfId="0" applyFont="1" applyFill="1" applyBorder="1" applyAlignment="1" applyProtection="1">
      <alignment wrapText="1" readingOrder="1"/>
      <protection locked="0"/>
    </xf>
    <xf numFmtId="0" fontId="5" fillId="7" borderId="3" xfId="0" applyFont="1" applyFill="1" applyBorder="1" applyAlignment="1" applyProtection="1">
      <alignment wrapText="1" readingOrder="1"/>
      <protection locked="0"/>
    </xf>
    <xf numFmtId="0" fontId="5" fillId="7" borderId="4" xfId="0" applyFont="1" applyFill="1" applyBorder="1" applyAlignment="1" applyProtection="1">
      <alignment wrapText="1" readingOrder="1"/>
      <protection locked="0"/>
    </xf>
    <xf numFmtId="0" fontId="6" fillId="3" borderId="3" xfId="0" applyFont="1" applyFill="1" applyBorder="1" applyAlignment="1" applyProtection="1">
      <alignment wrapText="1" readingOrder="1"/>
      <protection locked="0"/>
    </xf>
    <xf numFmtId="0" fontId="6" fillId="3" borderId="4" xfId="0" applyFont="1" applyFill="1" applyBorder="1" applyAlignment="1" applyProtection="1">
      <alignment wrapText="1" readingOrder="1"/>
      <protection locked="0"/>
    </xf>
    <xf numFmtId="0" fontId="5" fillId="9" borderId="3" xfId="0" applyFont="1" applyFill="1" applyBorder="1" applyAlignment="1" applyProtection="1">
      <alignment horizontal="left" vertical="center" wrapText="1" readingOrder="1"/>
      <protection locked="0"/>
    </xf>
    <xf numFmtId="0" fontId="5" fillId="9" borderId="4" xfId="0" applyFont="1" applyFill="1" applyBorder="1" applyAlignment="1" applyProtection="1">
      <alignment horizontal="left" vertical="center" wrapText="1" readingOrder="1"/>
      <protection locked="0"/>
    </xf>
    <xf numFmtId="0" fontId="5" fillId="10" borderId="3" xfId="0" applyFont="1" applyFill="1" applyBorder="1" applyAlignment="1" applyProtection="1">
      <alignment wrapText="1" readingOrder="1"/>
      <protection locked="0"/>
    </xf>
    <xf numFmtId="0" fontId="5" fillId="10" borderId="4" xfId="0" applyFont="1" applyFill="1" applyBorder="1" applyAlignment="1" applyProtection="1">
      <alignment wrapText="1" readingOrder="1"/>
      <protection locked="0"/>
    </xf>
    <xf numFmtId="0" fontId="7" fillId="0" borderId="5" xfId="0" applyFont="1" applyBorder="1" applyAlignment="1" applyProtection="1">
      <alignment horizontal="left" vertical="center" wrapText="1" readingOrder="1"/>
      <protection locked="0"/>
    </xf>
    <xf numFmtId="0" fontId="7" fillId="0" borderId="7" xfId="0" applyFont="1" applyBorder="1" applyAlignment="1" applyProtection="1">
      <alignment horizontal="left" vertical="center" wrapText="1" readingOrder="1"/>
      <protection locked="0"/>
    </xf>
    <xf numFmtId="0" fontId="11" fillId="9" borderId="24" xfId="0" applyFont="1" applyFill="1" applyBorder="1" applyAlignment="1" applyProtection="1">
      <alignment vertical="center" wrapText="1" readingOrder="1"/>
      <protection locked="0"/>
    </xf>
    <xf numFmtId="0" fontId="11" fillId="9" borderId="25" xfId="0" applyFont="1" applyFill="1" applyBorder="1" applyAlignment="1" applyProtection="1">
      <alignment vertical="center" wrapText="1" readingOrder="1"/>
      <protection locked="0"/>
    </xf>
    <xf numFmtId="0" fontId="9" fillId="0" borderId="5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6" fillId="4" borderId="13" xfId="0" applyFont="1" applyFill="1" applyBorder="1" applyAlignment="1" applyProtection="1">
      <alignment horizontal="left" wrapText="1" readingOrder="1"/>
      <protection locked="0"/>
    </xf>
    <xf numFmtId="0" fontId="6" fillId="4" borderId="6" xfId="0" applyFont="1" applyFill="1" applyBorder="1" applyAlignment="1" applyProtection="1">
      <alignment horizontal="left" wrapText="1" readingOrder="1"/>
      <protection locked="0"/>
    </xf>
    <xf numFmtId="0" fontId="9" fillId="0" borderId="5" xfId="0" applyFont="1" applyBorder="1" applyAlignment="1">
      <alignment horizontal="left" vertical="center" wrapText="1" readingOrder="1"/>
    </xf>
    <xf numFmtId="0" fontId="9" fillId="0" borderId="7" xfId="0" applyFont="1" applyBorder="1" applyAlignment="1">
      <alignment horizontal="left" vertical="center" wrapText="1" readingOrder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9" borderId="10" xfId="0" applyFont="1" applyFill="1" applyBorder="1" applyAlignment="1" applyProtection="1">
      <alignment vertical="center" wrapText="1" readingOrder="1"/>
      <protection locked="0"/>
    </xf>
    <xf numFmtId="0" fontId="11" fillId="9" borderId="11" xfId="0" applyFont="1" applyFill="1" applyBorder="1" applyAlignment="1" applyProtection="1">
      <alignment vertical="center" wrapText="1" readingOrder="1"/>
      <protection locked="0"/>
    </xf>
    <xf numFmtId="0" fontId="6" fillId="0" borderId="5" xfId="0" applyFont="1" applyBorder="1" applyAlignment="1" applyProtection="1">
      <alignment horizontal="left" vertical="center" wrapText="1" readingOrder="1"/>
      <protection locked="0"/>
    </xf>
    <xf numFmtId="0" fontId="6" fillId="0" borderId="7" xfId="0" applyFont="1" applyBorder="1" applyAlignment="1" applyProtection="1">
      <alignment horizontal="left" vertical="center" wrapText="1" readingOrder="1"/>
      <protection locked="0"/>
    </xf>
    <xf numFmtId="0" fontId="9" fillId="13" borderId="5" xfId="0" applyFont="1" applyFill="1" applyBorder="1" applyAlignment="1" applyProtection="1">
      <alignment vertical="center" wrapText="1" readingOrder="1"/>
      <protection locked="0"/>
    </xf>
    <xf numFmtId="0" fontId="9" fillId="13" borderId="7" xfId="0" applyFont="1" applyFill="1" applyBorder="1" applyAlignment="1" applyProtection="1">
      <alignment vertical="center" wrapText="1" readingOrder="1"/>
      <protection locked="0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left"/>
    </xf>
    <xf numFmtId="0" fontId="11" fillId="10" borderId="17" xfId="0" applyFont="1" applyFill="1" applyBorder="1" applyAlignment="1">
      <alignment horizontal="left"/>
    </xf>
    <xf numFmtId="0" fontId="11" fillId="10" borderId="2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5" xfId="0" applyFont="1" applyBorder="1" applyAlignment="1" applyProtection="1">
      <alignment horizontal="left" wrapText="1" readingOrder="1"/>
      <protection locked="0"/>
    </xf>
    <xf numFmtId="0" fontId="7" fillId="0" borderId="7" xfId="0" applyFont="1" applyBorder="1" applyAlignment="1" applyProtection="1">
      <alignment horizontal="left" wrapText="1" readingOrder="1"/>
      <protection locked="0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left" wrapText="1" readingOrder="1"/>
      <protection locked="0"/>
    </xf>
    <xf numFmtId="0" fontId="7" fillId="0" borderId="26" xfId="0" applyFont="1" applyBorder="1" applyAlignment="1" applyProtection="1">
      <alignment horizontal="left" wrapText="1" readingOrder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FFFFFF"/>
      <rgbColor rgb="00282894"/>
      <rgbColor rgb="003C3C9E"/>
      <rgbColor rgb="005050A8"/>
      <rgbColor rgb="006464B2"/>
      <rgbColor rgb="00FFFF00"/>
      <rgbColor rgb="000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FF"/>
      <color rgb="FF0000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workbookViewId="0">
      <selection activeCell="A5" sqref="A5"/>
    </sheetView>
  </sheetViews>
  <sheetFormatPr defaultColWidth="8.85546875" defaultRowHeight="12.75" x14ac:dyDescent="0.2"/>
  <cols>
    <col min="1" max="2" width="4.28515625" style="17" customWidth="1"/>
    <col min="3" max="3" width="5.5703125" style="17" customWidth="1"/>
    <col min="4" max="4" width="5.28515625" style="29" customWidth="1"/>
    <col min="5" max="5" width="31.28515625" style="17" customWidth="1"/>
    <col min="6" max="7" width="18" style="17" customWidth="1"/>
    <col min="8" max="8" width="17.85546875" style="17" customWidth="1"/>
    <col min="9" max="10" width="18" style="17" customWidth="1"/>
    <col min="11" max="16384" width="8.85546875" style="5"/>
  </cols>
  <sheetData>
    <row r="1" spans="1:10" x14ac:dyDescent="0.2">
      <c r="A1" s="4" t="s">
        <v>92</v>
      </c>
      <c r="B1" s="4"/>
      <c r="C1" s="4"/>
      <c r="D1" s="4"/>
      <c r="E1" s="4"/>
      <c r="F1" s="4"/>
      <c r="G1" s="4"/>
      <c r="I1" s="4"/>
      <c r="J1" s="4"/>
    </row>
    <row r="2" spans="1:10" x14ac:dyDescent="0.2">
      <c r="A2" s="254" t="s">
        <v>223</v>
      </c>
      <c r="B2" s="255"/>
      <c r="C2" s="255"/>
      <c r="D2" s="255"/>
      <c r="E2" s="255"/>
      <c r="F2" s="255"/>
      <c r="G2" s="255"/>
      <c r="I2" s="5"/>
      <c r="J2" s="5"/>
    </row>
    <row r="3" spans="1:10" ht="13.15" customHeight="1" x14ac:dyDescent="0.2">
      <c r="A3" s="256" t="s">
        <v>246</v>
      </c>
      <c r="B3" s="256"/>
      <c r="C3" s="256"/>
      <c r="D3" s="256"/>
      <c r="E3" s="256"/>
      <c r="F3" s="5"/>
      <c r="G3" s="5"/>
      <c r="I3" s="5"/>
      <c r="J3" s="5"/>
    </row>
    <row r="4" spans="1:10" x14ac:dyDescent="0.2">
      <c r="A4" s="254" t="s">
        <v>225</v>
      </c>
      <c r="B4" s="255"/>
      <c r="C4" s="255"/>
      <c r="D4" s="255"/>
      <c r="E4" s="255"/>
      <c r="F4" s="255"/>
      <c r="G4" s="255"/>
      <c r="I4" s="5"/>
      <c r="J4" s="5"/>
    </row>
    <row r="6" spans="1:10" s="17" customFormat="1" ht="21.6" customHeight="1" x14ac:dyDescent="0.2">
      <c r="A6" s="248" t="s">
        <v>106</v>
      </c>
      <c r="B6" s="248"/>
      <c r="C6" s="248"/>
      <c r="D6" s="248"/>
      <c r="E6" s="248"/>
      <c r="F6" s="248"/>
      <c r="G6" s="248"/>
      <c r="H6" s="248"/>
      <c r="I6" s="248"/>
      <c r="J6" s="248"/>
    </row>
    <row r="7" spans="1:10" s="17" customFormat="1" ht="21.6" customHeight="1" x14ac:dyDescent="0.2">
      <c r="A7" s="248" t="s">
        <v>248</v>
      </c>
      <c r="B7" s="248"/>
      <c r="C7" s="248"/>
      <c r="D7" s="248"/>
      <c r="E7" s="248"/>
      <c r="F7" s="248"/>
      <c r="G7" s="248"/>
      <c r="H7" s="248"/>
      <c r="I7" s="248"/>
      <c r="J7" s="248"/>
    </row>
    <row r="8" spans="1:10" s="17" customFormat="1" ht="21.6" customHeight="1" x14ac:dyDescent="0.2">
      <c r="A8" s="248" t="s">
        <v>93</v>
      </c>
      <c r="B8" s="248"/>
      <c r="C8" s="248"/>
      <c r="D8" s="248"/>
      <c r="E8" s="248"/>
      <c r="F8" s="248"/>
      <c r="G8" s="248"/>
      <c r="H8" s="248"/>
      <c r="I8" s="248"/>
      <c r="J8" s="248"/>
    </row>
    <row r="9" spans="1:10" s="17" customFormat="1" ht="9" customHeight="1" x14ac:dyDescent="0.2">
      <c r="A9" s="18"/>
      <c r="B9" s="19"/>
      <c r="C9" s="19"/>
      <c r="D9" s="19"/>
      <c r="E9" s="19"/>
    </row>
    <row r="10" spans="1:10" s="17" customFormat="1" ht="27.75" customHeight="1" x14ac:dyDescent="0.2">
      <c r="A10" s="251" t="s">
        <v>202</v>
      </c>
      <c r="B10" s="252"/>
      <c r="C10" s="252"/>
      <c r="D10" s="252"/>
      <c r="E10" s="253"/>
      <c r="F10" s="187" t="s">
        <v>176</v>
      </c>
      <c r="G10" s="187" t="s">
        <v>238</v>
      </c>
      <c r="H10" s="187" t="s">
        <v>239</v>
      </c>
      <c r="I10" s="187" t="s">
        <v>174</v>
      </c>
      <c r="J10" s="187" t="s">
        <v>175</v>
      </c>
    </row>
    <row r="11" spans="1:10" s="176" customFormat="1" ht="19.899999999999999" customHeight="1" x14ac:dyDescent="0.2">
      <c r="A11" s="245" t="s">
        <v>205</v>
      </c>
      <c r="B11" s="246"/>
      <c r="C11" s="246"/>
      <c r="D11" s="246"/>
      <c r="E11" s="247"/>
      <c r="F11" s="181">
        <v>1</v>
      </c>
      <c r="G11" s="182">
        <v>2</v>
      </c>
      <c r="H11" s="182">
        <v>3</v>
      </c>
      <c r="I11" s="181">
        <v>4</v>
      </c>
      <c r="J11" s="181">
        <v>5</v>
      </c>
    </row>
    <row r="12" spans="1:10" s="17" customFormat="1" ht="17.25" customHeight="1" x14ac:dyDescent="0.2">
      <c r="A12" s="267" t="s">
        <v>94</v>
      </c>
      <c r="B12" s="250"/>
      <c r="C12" s="250"/>
      <c r="D12" s="250"/>
      <c r="E12" s="268"/>
      <c r="F12" s="20">
        <f>F13+F14</f>
        <v>1221649.976951357</v>
      </c>
      <c r="G12" s="20">
        <f>G13+G14</f>
        <v>1822359.7499999998</v>
      </c>
      <c r="H12" s="20">
        <f>H13+H14</f>
        <v>1796968.03</v>
      </c>
      <c r="I12" s="20">
        <f>ROUND(H12/F12*100,2)</f>
        <v>147.09</v>
      </c>
      <c r="J12" s="20">
        <f>ROUND(H12/G12*100,2)</f>
        <v>98.61</v>
      </c>
    </row>
    <row r="13" spans="1:10" s="17" customFormat="1" ht="19.899999999999999" customHeight="1" x14ac:dyDescent="0.2">
      <c r="A13" s="266" t="s">
        <v>95</v>
      </c>
      <c r="B13" s="250"/>
      <c r="C13" s="250"/>
      <c r="D13" s="250"/>
      <c r="E13" s="268"/>
      <c r="F13" s="183">
        <f>'opći po ekonomskoj'!C13</f>
        <v>1221649.976951357</v>
      </c>
      <c r="G13" s="183">
        <f>'opći po ekonomskoj'!D13</f>
        <v>1812496.6199999999</v>
      </c>
      <c r="H13" s="183">
        <f>'opći po ekonomskoj'!F13</f>
        <v>1795584.68</v>
      </c>
      <c r="I13" s="183">
        <f t="shared" ref="I13:I29" si="0">ROUND(H13/F13*100,2)</f>
        <v>146.97999999999999</v>
      </c>
      <c r="J13" s="183">
        <f t="shared" ref="J13:J18" si="1">ROUND(H13/G13*100,2)</f>
        <v>99.07</v>
      </c>
    </row>
    <row r="14" spans="1:10" s="17" customFormat="1" ht="19.899999999999999" customHeight="1" x14ac:dyDescent="0.2">
      <c r="A14" s="269" t="s">
        <v>96</v>
      </c>
      <c r="B14" s="268"/>
      <c r="C14" s="268"/>
      <c r="D14" s="268"/>
      <c r="E14" s="268"/>
      <c r="F14" s="183">
        <f>'opći po ekonomskoj'!C27</f>
        <v>0</v>
      </c>
      <c r="G14" s="183">
        <f>'opći po ekonomskoj'!D27</f>
        <v>9863.130000000001</v>
      </c>
      <c r="H14" s="183">
        <f>'opći po ekonomskoj'!F27</f>
        <v>1383.35</v>
      </c>
      <c r="I14" s="183" t="e">
        <f t="shared" si="0"/>
        <v>#DIV/0!</v>
      </c>
      <c r="J14" s="183">
        <f t="shared" si="1"/>
        <v>14.03</v>
      </c>
    </row>
    <row r="15" spans="1:10" s="17" customFormat="1" ht="19.899999999999999" customHeight="1" x14ac:dyDescent="0.2">
      <c r="A15" s="178" t="s">
        <v>97</v>
      </c>
      <c r="B15" s="175"/>
      <c r="C15" s="175"/>
      <c r="D15" s="175"/>
      <c r="E15" s="175"/>
      <c r="F15" s="177">
        <f>F16+F17</f>
        <v>1382648.9946247262</v>
      </c>
      <c r="G15" s="177">
        <f>G16+G17</f>
        <v>1847567.4299999997</v>
      </c>
      <c r="H15" s="177">
        <f>H16+H17</f>
        <v>1379791.28</v>
      </c>
      <c r="I15" s="177">
        <f t="shared" si="0"/>
        <v>99.79</v>
      </c>
      <c r="J15" s="177">
        <f t="shared" si="1"/>
        <v>74.680000000000007</v>
      </c>
    </row>
    <row r="16" spans="1:10" s="17" customFormat="1" ht="19.899999999999999" customHeight="1" x14ac:dyDescent="0.2">
      <c r="A16" s="270" t="s">
        <v>98</v>
      </c>
      <c r="B16" s="250"/>
      <c r="C16" s="250"/>
      <c r="D16" s="250"/>
      <c r="E16" s="250"/>
      <c r="F16" s="184">
        <f>'opći po ekonomskoj'!C37</f>
        <v>1375567.1391598645</v>
      </c>
      <c r="G16" s="184">
        <f>'opći po ekonomskoj'!D37</f>
        <v>1817040.2899999998</v>
      </c>
      <c r="H16" s="184">
        <f>'opći po ekonomskoj'!F37</f>
        <v>1371071.52</v>
      </c>
      <c r="I16" s="184">
        <f t="shared" si="0"/>
        <v>99.67</v>
      </c>
      <c r="J16" s="184">
        <f t="shared" si="1"/>
        <v>75.459999999999994</v>
      </c>
    </row>
    <row r="17" spans="1:11" s="17" customFormat="1" ht="19.899999999999999" customHeight="1" x14ac:dyDescent="0.2">
      <c r="A17" s="269" t="s">
        <v>99</v>
      </c>
      <c r="B17" s="268"/>
      <c r="C17" s="268"/>
      <c r="D17" s="268"/>
      <c r="E17" s="268"/>
      <c r="F17" s="184">
        <f>'opći po ekonomskoj'!C54</f>
        <v>7081.8554648616364</v>
      </c>
      <c r="G17" s="184">
        <f>'opći po ekonomskoj'!D54</f>
        <v>30527.14</v>
      </c>
      <c r="H17" s="184">
        <f>'opći po ekonomskoj'!F54</f>
        <v>8719.76</v>
      </c>
      <c r="I17" s="184">
        <f t="shared" si="0"/>
        <v>123.13</v>
      </c>
      <c r="J17" s="184">
        <f t="shared" si="1"/>
        <v>28.56</v>
      </c>
    </row>
    <row r="18" spans="1:11" s="17" customFormat="1" ht="19.899999999999999" customHeight="1" x14ac:dyDescent="0.2">
      <c r="A18" s="249" t="s">
        <v>100</v>
      </c>
      <c r="B18" s="250"/>
      <c r="C18" s="250"/>
      <c r="D18" s="250"/>
      <c r="E18" s="250"/>
      <c r="F18" s="20">
        <f>+F12-F15</f>
        <v>-160999.01767336926</v>
      </c>
      <c r="G18" s="20">
        <f>+G12-G15</f>
        <v>-25207.679999999935</v>
      </c>
      <c r="H18" s="20">
        <f>+H12-H15</f>
        <v>417176.75</v>
      </c>
      <c r="I18" s="20">
        <f t="shared" si="0"/>
        <v>-259.12</v>
      </c>
      <c r="J18" s="20">
        <f t="shared" si="1"/>
        <v>-1654.96</v>
      </c>
    </row>
    <row r="19" spans="1:11" s="17" customFormat="1" ht="19.899999999999999" customHeight="1" x14ac:dyDescent="0.2">
      <c r="A19" s="248"/>
      <c r="B19" s="257"/>
      <c r="C19" s="257"/>
      <c r="D19" s="257"/>
      <c r="E19" s="257"/>
      <c r="F19" s="258"/>
      <c r="G19" s="258"/>
      <c r="H19" s="258"/>
    </row>
    <row r="20" spans="1:11" s="17" customFormat="1" ht="19.899999999999999" customHeight="1" x14ac:dyDescent="0.2">
      <c r="A20" s="244" t="s">
        <v>204</v>
      </c>
      <c r="B20" s="244"/>
      <c r="C20" s="244"/>
      <c r="D20" s="244"/>
      <c r="E20" s="244"/>
      <c r="F20" s="182"/>
      <c r="G20" s="182"/>
      <c r="H20" s="182"/>
      <c r="I20" s="182"/>
      <c r="J20" s="182"/>
    </row>
    <row r="21" spans="1:11" ht="29.45" customHeight="1" x14ac:dyDescent="0.2">
      <c r="A21" s="259" t="s">
        <v>203</v>
      </c>
      <c r="B21" s="260"/>
      <c r="C21" s="260"/>
      <c r="D21" s="260"/>
      <c r="E21" s="261"/>
      <c r="F21" s="185"/>
      <c r="G21" s="185"/>
      <c r="H21" s="186"/>
      <c r="I21" s="184" t="e">
        <f t="shared" si="0"/>
        <v>#DIV/0!</v>
      </c>
      <c r="J21" s="184" t="e">
        <f t="shared" ref="J21:J22" si="2">ROUND(H21/G21*100,2)</f>
        <v>#DIV/0!</v>
      </c>
    </row>
    <row r="22" spans="1:11" s="17" customFormat="1" ht="29.45" customHeight="1" x14ac:dyDescent="0.2">
      <c r="A22" s="262" t="s">
        <v>101</v>
      </c>
      <c r="B22" s="263"/>
      <c r="C22" s="263"/>
      <c r="D22" s="263"/>
      <c r="E22" s="264"/>
      <c r="F22" s="179">
        <f>'opći po ekonomskoj'!C30</f>
        <v>0</v>
      </c>
      <c r="G22" s="179">
        <f>'opći po ekonomskoj'!D30</f>
        <v>0</v>
      </c>
      <c r="H22" s="179">
        <f>'opći po ekonomskoj'!F30</f>
        <v>0</v>
      </c>
      <c r="I22" s="20" t="e">
        <f t="shared" si="0"/>
        <v>#DIV/0!</v>
      </c>
      <c r="J22" s="20" t="e">
        <f t="shared" si="2"/>
        <v>#DIV/0!</v>
      </c>
    </row>
    <row r="23" spans="1:11" s="17" customFormat="1" ht="19.899999999999999" customHeight="1" x14ac:dyDescent="0.2">
      <c r="A23" s="265"/>
      <c r="B23" s="257"/>
      <c r="C23" s="257"/>
      <c r="D23" s="257"/>
      <c r="E23" s="257"/>
      <c r="F23" s="258"/>
      <c r="G23" s="258"/>
      <c r="H23" s="258"/>
    </row>
    <row r="24" spans="1:11" s="17" customFormat="1" ht="27.75" customHeight="1" x14ac:dyDescent="0.2">
      <c r="A24" s="245" t="s">
        <v>206</v>
      </c>
      <c r="B24" s="246"/>
      <c r="C24" s="246"/>
      <c r="D24" s="246"/>
      <c r="E24" s="247"/>
      <c r="F24" s="182"/>
      <c r="G24" s="182"/>
      <c r="H24" s="182"/>
      <c r="I24" s="182"/>
      <c r="J24" s="182"/>
    </row>
    <row r="25" spans="1:11" s="17" customFormat="1" ht="19.899999999999999" customHeight="1" x14ac:dyDescent="0.2">
      <c r="A25" s="266" t="s">
        <v>102</v>
      </c>
      <c r="B25" s="250"/>
      <c r="C25" s="250"/>
      <c r="D25" s="250"/>
      <c r="E25" s="250"/>
      <c r="F25" s="24">
        <v>0</v>
      </c>
      <c r="G25" s="24">
        <v>0</v>
      </c>
      <c r="H25" s="24">
        <v>0</v>
      </c>
      <c r="I25" s="183" t="e">
        <f t="shared" si="0"/>
        <v>#DIV/0!</v>
      </c>
      <c r="J25" s="183" t="e">
        <f t="shared" ref="J25:J29" si="3">ROUND(H25/G25*100,2)</f>
        <v>#DIV/0!</v>
      </c>
    </row>
    <row r="26" spans="1:11" s="17" customFormat="1" ht="19.899999999999999" customHeight="1" x14ac:dyDescent="0.2">
      <c r="A26" s="266" t="s">
        <v>103</v>
      </c>
      <c r="B26" s="250"/>
      <c r="C26" s="250"/>
      <c r="D26" s="250"/>
      <c r="E26" s="250"/>
      <c r="F26" s="24">
        <v>0</v>
      </c>
      <c r="G26" s="24">
        <v>0</v>
      </c>
      <c r="H26" s="24">
        <v>0</v>
      </c>
      <c r="I26" s="183" t="e">
        <f t="shared" si="0"/>
        <v>#DIV/0!</v>
      </c>
      <c r="J26" s="183" t="e">
        <f t="shared" si="3"/>
        <v>#DIV/0!</v>
      </c>
    </row>
    <row r="27" spans="1:11" s="17" customFormat="1" ht="19.899999999999999" customHeight="1" x14ac:dyDescent="0.2">
      <c r="A27" s="249" t="s">
        <v>104</v>
      </c>
      <c r="B27" s="250"/>
      <c r="C27" s="250"/>
      <c r="D27" s="250"/>
      <c r="E27" s="250"/>
      <c r="F27" s="179">
        <f>F25-F26</f>
        <v>0</v>
      </c>
      <c r="G27" s="179">
        <f>G25-G26</f>
        <v>0</v>
      </c>
      <c r="H27" s="179">
        <f>H25-H26</f>
        <v>0</v>
      </c>
      <c r="I27" s="177" t="e">
        <f t="shared" si="0"/>
        <v>#DIV/0!</v>
      </c>
      <c r="J27" s="177" t="e">
        <f t="shared" si="3"/>
        <v>#DIV/0!</v>
      </c>
    </row>
    <row r="28" spans="1:11" s="17" customFormat="1" ht="19.899999999999999" customHeight="1" x14ac:dyDescent="0.2">
      <c r="A28" s="180"/>
      <c r="B28" s="21"/>
      <c r="C28" s="22"/>
      <c r="D28" s="23"/>
      <c r="E28" s="21"/>
      <c r="F28" s="24"/>
      <c r="G28" s="24"/>
      <c r="H28" s="24"/>
      <c r="I28" s="183"/>
      <c r="J28" s="183" t="e">
        <f t="shared" si="3"/>
        <v>#DIV/0!</v>
      </c>
    </row>
    <row r="29" spans="1:11" s="17" customFormat="1" ht="19.899999999999999" customHeight="1" x14ac:dyDescent="0.2">
      <c r="A29" s="249" t="s">
        <v>105</v>
      </c>
      <c r="B29" s="250"/>
      <c r="C29" s="250"/>
      <c r="D29" s="250"/>
      <c r="E29" s="250"/>
      <c r="F29" s="179">
        <f>SUM(F18,F22,F27)</f>
        <v>-160999.01767336926</v>
      </c>
      <c r="G29" s="179">
        <f>SUM(G18,G22,G27)</f>
        <v>-25207.679999999935</v>
      </c>
      <c r="H29" s="179">
        <f>SUM(H18,H22,H27)</f>
        <v>417176.75</v>
      </c>
      <c r="I29" s="177">
        <f t="shared" si="0"/>
        <v>-259.12</v>
      </c>
      <c r="J29" s="177">
        <f t="shared" si="3"/>
        <v>-1654.96</v>
      </c>
    </row>
    <row r="30" spans="1:11" x14ac:dyDescent="0.2">
      <c r="A30" s="25"/>
      <c r="B30" s="19"/>
      <c r="C30" s="19"/>
      <c r="D30" s="19"/>
      <c r="E30" s="19"/>
    </row>
    <row r="31" spans="1:11" x14ac:dyDescent="0.2">
      <c r="A31" s="27"/>
      <c r="B31" s="27"/>
      <c r="C31" s="27"/>
      <c r="D31" s="28"/>
      <c r="E31" s="27"/>
      <c r="F31" s="27"/>
      <c r="G31" s="27"/>
      <c r="H31" s="27"/>
      <c r="I31" s="27"/>
      <c r="J31" s="27"/>
      <c r="K31" s="4"/>
    </row>
    <row r="32" spans="1:11" x14ac:dyDescent="0.2">
      <c r="A32" s="27"/>
      <c r="B32" s="27"/>
      <c r="C32" s="27"/>
      <c r="D32" s="28"/>
      <c r="E32" s="27"/>
      <c r="F32" s="27"/>
      <c r="G32" s="27"/>
      <c r="H32" s="27"/>
      <c r="I32" s="27"/>
      <c r="J32" s="27"/>
      <c r="K32" s="4"/>
    </row>
    <row r="33" spans="1:11" x14ac:dyDescent="0.2">
      <c r="A33" s="27"/>
      <c r="B33" s="27"/>
      <c r="C33" s="27"/>
      <c r="D33" s="28"/>
      <c r="E33" s="27"/>
      <c r="F33" s="27"/>
      <c r="G33" s="27"/>
      <c r="H33" s="27"/>
      <c r="I33" s="27"/>
      <c r="J33" s="27"/>
      <c r="K33" s="4"/>
    </row>
  </sheetData>
  <mergeCells count="24">
    <mergeCell ref="A2:G2"/>
    <mergeCell ref="A3:E3"/>
    <mergeCell ref="A4:G4"/>
    <mergeCell ref="A27:E27"/>
    <mergeCell ref="A29:E29"/>
    <mergeCell ref="A19:H19"/>
    <mergeCell ref="A21:E21"/>
    <mergeCell ref="A22:E22"/>
    <mergeCell ref="A23:H23"/>
    <mergeCell ref="A25:E25"/>
    <mergeCell ref="A26:E26"/>
    <mergeCell ref="A12:E12"/>
    <mergeCell ref="A13:E13"/>
    <mergeCell ref="A14:E14"/>
    <mergeCell ref="A16:E16"/>
    <mergeCell ref="A17:E17"/>
    <mergeCell ref="A20:E20"/>
    <mergeCell ref="A24:E24"/>
    <mergeCell ref="A11:E11"/>
    <mergeCell ref="A6:J6"/>
    <mergeCell ref="A7:J7"/>
    <mergeCell ref="A8:J8"/>
    <mergeCell ref="A18:E18"/>
    <mergeCell ref="A10:E10"/>
  </mergeCells>
  <pageMargins left="0.39370078740157483" right="0" top="0.39370078740157483" bottom="0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7"/>
  <sheetViews>
    <sheetView topLeftCell="A10" zoomScale="110" zoomScaleNormal="110" workbookViewId="0">
      <selection activeCell="C52" sqref="C52"/>
    </sheetView>
  </sheetViews>
  <sheetFormatPr defaultColWidth="11.42578125" defaultRowHeight="11.25" x14ac:dyDescent="0.2"/>
  <cols>
    <col min="1" max="1" width="7" style="27" customWidth="1"/>
    <col min="2" max="2" width="44.7109375" style="27" customWidth="1"/>
    <col min="3" max="6" width="15" style="122" customWidth="1"/>
    <col min="7" max="7" width="15" style="205" customWidth="1"/>
    <col min="8" max="8" width="15" style="189" customWidth="1"/>
    <col min="9" max="221" width="11.42578125" style="27"/>
    <col min="222" max="222" width="16" style="27" customWidth="1"/>
    <col min="223" max="229" width="17.5703125" style="27" customWidth="1"/>
    <col min="230" max="230" width="7.85546875" style="27" customWidth="1"/>
    <col min="231" max="231" width="14.28515625" style="27" customWidth="1"/>
    <col min="232" max="232" width="7.85546875" style="27" customWidth="1"/>
    <col min="233" max="477" width="11.42578125" style="27"/>
    <col min="478" max="478" width="16" style="27" customWidth="1"/>
    <col min="479" max="485" width="17.5703125" style="27" customWidth="1"/>
    <col min="486" max="486" width="7.85546875" style="27" customWidth="1"/>
    <col min="487" max="487" width="14.28515625" style="27" customWidth="1"/>
    <col min="488" max="488" width="7.85546875" style="27" customWidth="1"/>
    <col min="489" max="733" width="11.42578125" style="27"/>
    <col min="734" max="734" width="16" style="27" customWidth="1"/>
    <col min="735" max="741" width="17.5703125" style="27" customWidth="1"/>
    <col min="742" max="742" width="7.85546875" style="27" customWidth="1"/>
    <col min="743" max="743" width="14.28515625" style="27" customWidth="1"/>
    <col min="744" max="744" width="7.85546875" style="27" customWidth="1"/>
    <col min="745" max="989" width="11.42578125" style="27"/>
    <col min="990" max="990" width="16" style="27" customWidth="1"/>
    <col min="991" max="997" width="17.5703125" style="27" customWidth="1"/>
    <col min="998" max="998" width="7.85546875" style="27" customWidth="1"/>
    <col min="999" max="999" width="14.28515625" style="27" customWidth="1"/>
    <col min="1000" max="1000" width="7.85546875" style="27" customWidth="1"/>
    <col min="1001" max="1245" width="11.42578125" style="27"/>
    <col min="1246" max="1246" width="16" style="27" customWidth="1"/>
    <col min="1247" max="1253" width="17.5703125" style="27" customWidth="1"/>
    <col min="1254" max="1254" width="7.85546875" style="27" customWidth="1"/>
    <col min="1255" max="1255" width="14.28515625" style="27" customWidth="1"/>
    <col min="1256" max="1256" width="7.85546875" style="27" customWidth="1"/>
    <col min="1257" max="1501" width="11.42578125" style="27"/>
    <col min="1502" max="1502" width="16" style="27" customWidth="1"/>
    <col min="1503" max="1509" width="17.5703125" style="27" customWidth="1"/>
    <col min="1510" max="1510" width="7.85546875" style="27" customWidth="1"/>
    <col min="1511" max="1511" width="14.28515625" style="27" customWidth="1"/>
    <col min="1512" max="1512" width="7.85546875" style="27" customWidth="1"/>
    <col min="1513" max="1757" width="11.42578125" style="27"/>
    <col min="1758" max="1758" width="16" style="27" customWidth="1"/>
    <col min="1759" max="1765" width="17.5703125" style="27" customWidth="1"/>
    <col min="1766" max="1766" width="7.85546875" style="27" customWidth="1"/>
    <col min="1767" max="1767" width="14.28515625" style="27" customWidth="1"/>
    <col min="1768" max="1768" width="7.85546875" style="27" customWidth="1"/>
    <col min="1769" max="2013" width="11.42578125" style="27"/>
    <col min="2014" max="2014" width="16" style="27" customWidth="1"/>
    <col min="2015" max="2021" width="17.5703125" style="27" customWidth="1"/>
    <col min="2022" max="2022" width="7.85546875" style="27" customWidth="1"/>
    <col min="2023" max="2023" width="14.28515625" style="27" customWidth="1"/>
    <col min="2024" max="2024" width="7.85546875" style="27" customWidth="1"/>
    <col min="2025" max="2269" width="11.42578125" style="27"/>
    <col min="2270" max="2270" width="16" style="27" customWidth="1"/>
    <col min="2271" max="2277" width="17.5703125" style="27" customWidth="1"/>
    <col min="2278" max="2278" width="7.85546875" style="27" customWidth="1"/>
    <col min="2279" max="2279" width="14.28515625" style="27" customWidth="1"/>
    <col min="2280" max="2280" width="7.85546875" style="27" customWidth="1"/>
    <col min="2281" max="2525" width="11.42578125" style="27"/>
    <col min="2526" max="2526" width="16" style="27" customWidth="1"/>
    <col min="2527" max="2533" width="17.5703125" style="27" customWidth="1"/>
    <col min="2534" max="2534" width="7.85546875" style="27" customWidth="1"/>
    <col min="2535" max="2535" width="14.28515625" style="27" customWidth="1"/>
    <col min="2536" max="2536" width="7.85546875" style="27" customWidth="1"/>
    <col min="2537" max="2781" width="11.42578125" style="27"/>
    <col min="2782" max="2782" width="16" style="27" customWidth="1"/>
    <col min="2783" max="2789" width="17.5703125" style="27" customWidth="1"/>
    <col min="2790" max="2790" width="7.85546875" style="27" customWidth="1"/>
    <col min="2791" max="2791" width="14.28515625" style="27" customWidth="1"/>
    <col min="2792" max="2792" width="7.85546875" style="27" customWidth="1"/>
    <col min="2793" max="3037" width="11.42578125" style="27"/>
    <col min="3038" max="3038" width="16" style="27" customWidth="1"/>
    <col min="3039" max="3045" width="17.5703125" style="27" customWidth="1"/>
    <col min="3046" max="3046" width="7.85546875" style="27" customWidth="1"/>
    <col min="3047" max="3047" width="14.28515625" style="27" customWidth="1"/>
    <col min="3048" max="3048" width="7.85546875" style="27" customWidth="1"/>
    <col min="3049" max="3293" width="11.42578125" style="27"/>
    <col min="3294" max="3294" width="16" style="27" customWidth="1"/>
    <col min="3295" max="3301" width="17.5703125" style="27" customWidth="1"/>
    <col min="3302" max="3302" width="7.85546875" style="27" customWidth="1"/>
    <col min="3303" max="3303" width="14.28515625" style="27" customWidth="1"/>
    <col min="3304" max="3304" width="7.85546875" style="27" customWidth="1"/>
    <col min="3305" max="3549" width="11.42578125" style="27"/>
    <col min="3550" max="3550" width="16" style="27" customWidth="1"/>
    <col min="3551" max="3557" width="17.5703125" style="27" customWidth="1"/>
    <col min="3558" max="3558" width="7.85546875" style="27" customWidth="1"/>
    <col min="3559" max="3559" width="14.28515625" style="27" customWidth="1"/>
    <col min="3560" max="3560" width="7.85546875" style="27" customWidth="1"/>
    <col min="3561" max="3805" width="11.42578125" style="27"/>
    <col min="3806" max="3806" width="16" style="27" customWidth="1"/>
    <col min="3807" max="3813" width="17.5703125" style="27" customWidth="1"/>
    <col min="3814" max="3814" width="7.85546875" style="27" customWidth="1"/>
    <col min="3815" max="3815" width="14.28515625" style="27" customWidth="1"/>
    <col min="3816" max="3816" width="7.85546875" style="27" customWidth="1"/>
    <col min="3817" max="4061" width="11.42578125" style="27"/>
    <col min="4062" max="4062" width="16" style="27" customWidth="1"/>
    <col min="4063" max="4069" width="17.5703125" style="27" customWidth="1"/>
    <col min="4070" max="4070" width="7.85546875" style="27" customWidth="1"/>
    <col min="4071" max="4071" width="14.28515625" style="27" customWidth="1"/>
    <col min="4072" max="4072" width="7.85546875" style="27" customWidth="1"/>
    <col min="4073" max="4317" width="11.42578125" style="27"/>
    <col min="4318" max="4318" width="16" style="27" customWidth="1"/>
    <col min="4319" max="4325" width="17.5703125" style="27" customWidth="1"/>
    <col min="4326" max="4326" width="7.85546875" style="27" customWidth="1"/>
    <col min="4327" max="4327" width="14.28515625" style="27" customWidth="1"/>
    <col min="4328" max="4328" width="7.85546875" style="27" customWidth="1"/>
    <col min="4329" max="4573" width="11.42578125" style="27"/>
    <col min="4574" max="4574" width="16" style="27" customWidth="1"/>
    <col min="4575" max="4581" width="17.5703125" style="27" customWidth="1"/>
    <col min="4582" max="4582" width="7.85546875" style="27" customWidth="1"/>
    <col min="4583" max="4583" width="14.28515625" style="27" customWidth="1"/>
    <col min="4584" max="4584" width="7.85546875" style="27" customWidth="1"/>
    <col min="4585" max="4829" width="11.42578125" style="27"/>
    <col min="4830" max="4830" width="16" style="27" customWidth="1"/>
    <col min="4831" max="4837" width="17.5703125" style="27" customWidth="1"/>
    <col min="4838" max="4838" width="7.85546875" style="27" customWidth="1"/>
    <col min="4839" max="4839" width="14.28515625" style="27" customWidth="1"/>
    <col min="4840" max="4840" width="7.85546875" style="27" customWidth="1"/>
    <col min="4841" max="5085" width="11.42578125" style="27"/>
    <col min="5086" max="5086" width="16" style="27" customWidth="1"/>
    <col min="5087" max="5093" width="17.5703125" style="27" customWidth="1"/>
    <col min="5094" max="5094" width="7.85546875" style="27" customWidth="1"/>
    <col min="5095" max="5095" width="14.28515625" style="27" customWidth="1"/>
    <col min="5096" max="5096" width="7.85546875" style="27" customWidth="1"/>
    <col min="5097" max="5341" width="11.42578125" style="27"/>
    <col min="5342" max="5342" width="16" style="27" customWidth="1"/>
    <col min="5343" max="5349" width="17.5703125" style="27" customWidth="1"/>
    <col min="5350" max="5350" width="7.85546875" style="27" customWidth="1"/>
    <col min="5351" max="5351" width="14.28515625" style="27" customWidth="1"/>
    <col min="5352" max="5352" width="7.85546875" style="27" customWidth="1"/>
    <col min="5353" max="5597" width="11.42578125" style="27"/>
    <col min="5598" max="5598" width="16" style="27" customWidth="1"/>
    <col min="5599" max="5605" width="17.5703125" style="27" customWidth="1"/>
    <col min="5606" max="5606" width="7.85546875" style="27" customWidth="1"/>
    <col min="5607" max="5607" width="14.28515625" style="27" customWidth="1"/>
    <col min="5608" max="5608" width="7.85546875" style="27" customWidth="1"/>
    <col min="5609" max="5853" width="11.42578125" style="27"/>
    <col min="5854" max="5854" width="16" style="27" customWidth="1"/>
    <col min="5855" max="5861" width="17.5703125" style="27" customWidth="1"/>
    <col min="5862" max="5862" width="7.85546875" style="27" customWidth="1"/>
    <col min="5863" max="5863" width="14.28515625" style="27" customWidth="1"/>
    <col min="5864" max="5864" width="7.85546875" style="27" customWidth="1"/>
    <col min="5865" max="6109" width="11.42578125" style="27"/>
    <col min="6110" max="6110" width="16" style="27" customWidth="1"/>
    <col min="6111" max="6117" width="17.5703125" style="27" customWidth="1"/>
    <col min="6118" max="6118" width="7.85546875" style="27" customWidth="1"/>
    <col min="6119" max="6119" width="14.28515625" style="27" customWidth="1"/>
    <col min="6120" max="6120" width="7.85546875" style="27" customWidth="1"/>
    <col min="6121" max="6365" width="11.42578125" style="27"/>
    <col min="6366" max="6366" width="16" style="27" customWidth="1"/>
    <col min="6367" max="6373" width="17.5703125" style="27" customWidth="1"/>
    <col min="6374" max="6374" width="7.85546875" style="27" customWidth="1"/>
    <col min="6375" max="6375" width="14.28515625" style="27" customWidth="1"/>
    <col min="6376" max="6376" width="7.85546875" style="27" customWidth="1"/>
    <col min="6377" max="6621" width="11.42578125" style="27"/>
    <col min="6622" max="6622" width="16" style="27" customWidth="1"/>
    <col min="6623" max="6629" width="17.5703125" style="27" customWidth="1"/>
    <col min="6630" max="6630" width="7.85546875" style="27" customWidth="1"/>
    <col min="6631" max="6631" width="14.28515625" style="27" customWidth="1"/>
    <col min="6632" max="6632" width="7.85546875" style="27" customWidth="1"/>
    <col min="6633" max="6877" width="11.42578125" style="27"/>
    <col min="6878" max="6878" width="16" style="27" customWidth="1"/>
    <col min="6879" max="6885" width="17.5703125" style="27" customWidth="1"/>
    <col min="6886" max="6886" width="7.85546875" style="27" customWidth="1"/>
    <col min="6887" max="6887" width="14.28515625" style="27" customWidth="1"/>
    <col min="6888" max="6888" width="7.85546875" style="27" customWidth="1"/>
    <col min="6889" max="7133" width="11.42578125" style="27"/>
    <col min="7134" max="7134" width="16" style="27" customWidth="1"/>
    <col min="7135" max="7141" width="17.5703125" style="27" customWidth="1"/>
    <col min="7142" max="7142" width="7.85546875" style="27" customWidth="1"/>
    <col min="7143" max="7143" width="14.28515625" style="27" customWidth="1"/>
    <col min="7144" max="7144" width="7.85546875" style="27" customWidth="1"/>
    <col min="7145" max="7389" width="11.42578125" style="27"/>
    <col min="7390" max="7390" width="16" style="27" customWidth="1"/>
    <col min="7391" max="7397" width="17.5703125" style="27" customWidth="1"/>
    <col min="7398" max="7398" width="7.85546875" style="27" customWidth="1"/>
    <col min="7399" max="7399" width="14.28515625" style="27" customWidth="1"/>
    <col min="7400" max="7400" width="7.85546875" style="27" customWidth="1"/>
    <col min="7401" max="7645" width="11.42578125" style="27"/>
    <col min="7646" max="7646" width="16" style="27" customWidth="1"/>
    <col min="7647" max="7653" width="17.5703125" style="27" customWidth="1"/>
    <col min="7654" max="7654" width="7.85546875" style="27" customWidth="1"/>
    <col min="7655" max="7655" width="14.28515625" style="27" customWidth="1"/>
    <col min="7656" max="7656" width="7.85546875" style="27" customWidth="1"/>
    <col min="7657" max="7901" width="11.42578125" style="27"/>
    <col min="7902" max="7902" width="16" style="27" customWidth="1"/>
    <col min="7903" max="7909" width="17.5703125" style="27" customWidth="1"/>
    <col min="7910" max="7910" width="7.85546875" style="27" customWidth="1"/>
    <col min="7911" max="7911" width="14.28515625" style="27" customWidth="1"/>
    <col min="7912" max="7912" width="7.85546875" style="27" customWidth="1"/>
    <col min="7913" max="8157" width="11.42578125" style="27"/>
    <col min="8158" max="8158" width="16" style="27" customWidth="1"/>
    <col min="8159" max="8165" width="17.5703125" style="27" customWidth="1"/>
    <col min="8166" max="8166" width="7.85546875" style="27" customWidth="1"/>
    <col min="8167" max="8167" width="14.28515625" style="27" customWidth="1"/>
    <col min="8168" max="8168" width="7.85546875" style="27" customWidth="1"/>
    <col min="8169" max="8413" width="11.42578125" style="27"/>
    <col min="8414" max="8414" width="16" style="27" customWidth="1"/>
    <col min="8415" max="8421" width="17.5703125" style="27" customWidth="1"/>
    <col min="8422" max="8422" width="7.85546875" style="27" customWidth="1"/>
    <col min="8423" max="8423" width="14.28515625" style="27" customWidth="1"/>
    <col min="8424" max="8424" width="7.85546875" style="27" customWidth="1"/>
    <col min="8425" max="8669" width="11.42578125" style="27"/>
    <col min="8670" max="8670" width="16" style="27" customWidth="1"/>
    <col min="8671" max="8677" width="17.5703125" style="27" customWidth="1"/>
    <col min="8678" max="8678" width="7.85546875" style="27" customWidth="1"/>
    <col min="8679" max="8679" width="14.28515625" style="27" customWidth="1"/>
    <col min="8680" max="8680" width="7.85546875" style="27" customWidth="1"/>
    <col min="8681" max="8925" width="11.42578125" style="27"/>
    <col min="8926" max="8926" width="16" style="27" customWidth="1"/>
    <col min="8927" max="8933" width="17.5703125" style="27" customWidth="1"/>
    <col min="8934" max="8934" width="7.85546875" style="27" customWidth="1"/>
    <col min="8935" max="8935" width="14.28515625" style="27" customWidth="1"/>
    <col min="8936" max="8936" width="7.85546875" style="27" customWidth="1"/>
    <col min="8937" max="9181" width="11.42578125" style="27"/>
    <col min="9182" max="9182" width="16" style="27" customWidth="1"/>
    <col min="9183" max="9189" width="17.5703125" style="27" customWidth="1"/>
    <col min="9190" max="9190" width="7.85546875" style="27" customWidth="1"/>
    <col min="9191" max="9191" width="14.28515625" style="27" customWidth="1"/>
    <col min="9192" max="9192" width="7.85546875" style="27" customWidth="1"/>
    <col min="9193" max="9437" width="11.42578125" style="27"/>
    <col min="9438" max="9438" width="16" style="27" customWidth="1"/>
    <col min="9439" max="9445" width="17.5703125" style="27" customWidth="1"/>
    <col min="9446" max="9446" width="7.85546875" style="27" customWidth="1"/>
    <col min="9447" max="9447" width="14.28515625" style="27" customWidth="1"/>
    <col min="9448" max="9448" width="7.85546875" style="27" customWidth="1"/>
    <col min="9449" max="9693" width="11.42578125" style="27"/>
    <col min="9694" max="9694" width="16" style="27" customWidth="1"/>
    <col min="9695" max="9701" width="17.5703125" style="27" customWidth="1"/>
    <col min="9702" max="9702" width="7.85546875" style="27" customWidth="1"/>
    <col min="9703" max="9703" width="14.28515625" style="27" customWidth="1"/>
    <col min="9704" max="9704" width="7.85546875" style="27" customWidth="1"/>
    <col min="9705" max="9949" width="11.42578125" style="27"/>
    <col min="9950" max="9950" width="16" style="27" customWidth="1"/>
    <col min="9951" max="9957" width="17.5703125" style="27" customWidth="1"/>
    <col min="9958" max="9958" width="7.85546875" style="27" customWidth="1"/>
    <col min="9959" max="9959" width="14.28515625" style="27" customWidth="1"/>
    <col min="9960" max="9960" width="7.85546875" style="27" customWidth="1"/>
    <col min="9961" max="10205" width="11.42578125" style="27"/>
    <col min="10206" max="10206" width="16" style="27" customWidth="1"/>
    <col min="10207" max="10213" width="17.5703125" style="27" customWidth="1"/>
    <col min="10214" max="10214" width="7.85546875" style="27" customWidth="1"/>
    <col min="10215" max="10215" width="14.28515625" style="27" customWidth="1"/>
    <col min="10216" max="10216" width="7.85546875" style="27" customWidth="1"/>
    <col min="10217" max="10461" width="11.42578125" style="27"/>
    <col min="10462" max="10462" width="16" style="27" customWidth="1"/>
    <col min="10463" max="10469" width="17.5703125" style="27" customWidth="1"/>
    <col min="10470" max="10470" width="7.85546875" style="27" customWidth="1"/>
    <col min="10471" max="10471" width="14.28515625" style="27" customWidth="1"/>
    <col min="10472" max="10472" width="7.85546875" style="27" customWidth="1"/>
    <col min="10473" max="10717" width="11.42578125" style="27"/>
    <col min="10718" max="10718" width="16" style="27" customWidth="1"/>
    <col min="10719" max="10725" width="17.5703125" style="27" customWidth="1"/>
    <col min="10726" max="10726" width="7.85546875" style="27" customWidth="1"/>
    <col min="10727" max="10727" width="14.28515625" style="27" customWidth="1"/>
    <col min="10728" max="10728" width="7.85546875" style="27" customWidth="1"/>
    <col min="10729" max="10973" width="11.42578125" style="27"/>
    <col min="10974" max="10974" width="16" style="27" customWidth="1"/>
    <col min="10975" max="10981" width="17.5703125" style="27" customWidth="1"/>
    <col min="10982" max="10982" width="7.85546875" style="27" customWidth="1"/>
    <col min="10983" max="10983" width="14.28515625" style="27" customWidth="1"/>
    <col min="10984" max="10984" width="7.85546875" style="27" customWidth="1"/>
    <col min="10985" max="11229" width="11.42578125" style="27"/>
    <col min="11230" max="11230" width="16" style="27" customWidth="1"/>
    <col min="11231" max="11237" width="17.5703125" style="27" customWidth="1"/>
    <col min="11238" max="11238" width="7.85546875" style="27" customWidth="1"/>
    <col min="11239" max="11239" width="14.28515625" style="27" customWidth="1"/>
    <col min="11240" max="11240" width="7.85546875" style="27" customWidth="1"/>
    <col min="11241" max="11485" width="11.42578125" style="27"/>
    <col min="11486" max="11486" width="16" style="27" customWidth="1"/>
    <col min="11487" max="11493" width="17.5703125" style="27" customWidth="1"/>
    <col min="11494" max="11494" width="7.85546875" style="27" customWidth="1"/>
    <col min="11495" max="11495" width="14.28515625" style="27" customWidth="1"/>
    <col min="11496" max="11496" width="7.85546875" style="27" customWidth="1"/>
    <col min="11497" max="11741" width="11.42578125" style="27"/>
    <col min="11742" max="11742" width="16" style="27" customWidth="1"/>
    <col min="11743" max="11749" width="17.5703125" style="27" customWidth="1"/>
    <col min="11750" max="11750" width="7.85546875" style="27" customWidth="1"/>
    <col min="11751" max="11751" width="14.28515625" style="27" customWidth="1"/>
    <col min="11752" max="11752" width="7.85546875" style="27" customWidth="1"/>
    <col min="11753" max="11997" width="11.42578125" style="27"/>
    <col min="11998" max="11998" width="16" style="27" customWidth="1"/>
    <col min="11999" max="12005" width="17.5703125" style="27" customWidth="1"/>
    <col min="12006" max="12006" width="7.85546875" style="27" customWidth="1"/>
    <col min="12007" max="12007" width="14.28515625" style="27" customWidth="1"/>
    <col min="12008" max="12008" width="7.85546875" style="27" customWidth="1"/>
    <col min="12009" max="12253" width="11.42578125" style="27"/>
    <col min="12254" max="12254" width="16" style="27" customWidth="1"/>
    <col min="12255" max="12261" width="17.5703125" style="27" customWidth="1"/>
    <col min="12262" max="12262" width="7.85546875" style="27" customWidth="1"/>
    <col min="12263" max="12263" width="14.28515625" style="27" customWidth="1"/>
    <col min="12264" max="12264" width="7.85546875" style="27" customWidth="1"/>
    <col min="12265" max="12509" width="11.42578125" style="27"/>
    <col min="12510" max="12510" width="16" style="27" customWidth="1"/>
    <col min="12511" max="12517" width="17.5703125" style="27" customWidth="1"/>
    <col min="12518" max="12518" width="7.85546875" style="27" customWidth="1"/>
    <col min="12519" max="12519" width="14.28515625" style="27" customWidth="1"/>
    <col min="12520" max="12520" width="7.85546875" style="27" customWidth="1"/>
    <col min="12521" max="12765" width="11.42578125" style="27"/>
    <col min="12766" max="12766" width="16" style="27" customWidth="1"/>
    <col min="12767" max="12773" width="17.5703125" style="27" customWidth="1"/>
    <col min="12774" max="12774" width="7.85546875" style="27" customWidth="1"/>
    <col min="12775" max="12775" width="14.28515625" style="27" customWidth="1"/>
    <col min="12776" max="12776" width="7.85546875" style="27" customWidth="1"/>
    <col min="12777" max="13021" width="11.42578125" style="27"/>
    <col min="13022" max="13022" width="16" style="27" customWidth="1"/>
    <col min="13023" max="13029" width="17.5703125" style="27" customWidth="1"/>
    <col min="13030" max="13030" width="7.85546875" style="27" customWidth="1"/>
    <col min="13031" max="13031" width="14.28515625" style="27" customWidth="1"/>
    <col min="13032" max="13032" width="7.85546875" style="27" customWidth="1"/>
    <col min="13033" max="13277" width="11.42578125" style="27"/>
    <col min="13278" max="13278" width="16" style="27" customWidth="1"/>
    <col min="13279" max="13285" width="17.5703125" style="27" customWidth="1"/>
    <col min="13286" max="13286" width="7.85546875" style="27" customWidth="1"/>
    <col min="13287" max="13287" width="14.28515625" style="27" customWidth="1"/>
    <col min="13288" max="13288" width="7.85546875" style="27" customWidth="1"/>
    <col min="13289" max="13533" width="11.42578125" style="27"/>
    <col min="13534" max="13534" width="16" style="27" customWidth="1"/>
    <col min="13535" max="13541" width="17.5703125" style="27" customWidth="1"/>
    <col min="13542" max="13542" width="7.85546875" style="27" customWidth="1"/>
    <col min="13543" max="13543" width="14.28515625" style="27" customWidth="1"/>
    <col min="13544" max="13544" width="7.85546875" style="27" customWidth="1"/>
    <col min="13545" max="13789" width="11.42578125" style="27"/>
    <col min="13790" max="13790" width="16" style="27" customWidth="1"/>
    <col min="13791" max="13797" width="17.5703125" style="27" customWidth="1"/>
    <col min="13798" max="13798" width="7.85546875" style="27" customWidth="1"/>
    <col min="13799" max="13799" width="14.28515625" style="27" customWidth="1"/>
    <col min="13800" max="13800" width="7.85546875" style="27" customWidth="1"/>
    <col min="13801" max="14045" width="11.42578125" style="27"/>
    <col min="14046" max="14046" width="16" style="27" customWidth="1"/>
    <col min="14047" max="14053" width="17.5703125" style="27" customWidth="1"/>
    <col min="14054" max="14054" width="7.85546875" style="27" customWidth="1"/>
    <col min="14055" max="14055" width="14.28515625" style="27" customWidth="1"/>
    <col min="14056" max="14056" width="7.85546875" style="27" customWidth="1"/>
    <col min="14057" max="14301" width="11.42578125" style="27"/>
    <col min="14302" max="14302" width="16" style="27" customWidth="1"/>
    <col min="14303" max="14309" width="17.5703125" style="27" customWidth="1"/>
    <col min="14310" max="14310" width="7.85546875" style="27" customWidth="1"/>
    <col min="14311" max="14311" width="14.28515625" style="27" customWidth="1"/>
    <col min="14312" max="14312" width="7.85546875" style="27" customWidth="1"/>
    <col min="14313" max="14557" width="11.42578125" style="27"/>
    <col min="14558" max="14558" width="16" style="27" customWidth="1"/>
    <col min="14559" max="14565" width="17.5703125" style="27" customWidth="1"/>
    <col min="14566" max="14566" width="7.85546875" style="27" customWidth="1"/>
    <col min="14567" max="14567" width="14.28515625" style="27" customWidth="1"/>
    <col min="14568" max="14568" width="7.85546875" style="27" customWidth="1"/>
    <col min="14569" max="14813" width="11.42578125" style="27"/>
    <col min="14814" max="14814" width="16" style="27" customWidth="1"/>
    <col min="14815" max="14821" width="17.5703125" style="27" customWidth="1"/>
    <col min="14822" max="14822" width="7.85546875" style="27" customWidth="1"/>
    <col min="14823" max="14823" width="14.28515625" style="27" customWidth="1"/>
    <col min="14824" max="14824" width="7.85546875" style="27" customWidth="1"/>
    <col min="14825" max="15069" width="11.42578125" style="27"/>
    <col min="15070" max="15070" width="16" style="27" customWidth="1"/>
    <col min="15071" max="15077" width="17.5703125" style="27" customWidth="1"/>
    <col min="15078" max="15078" width="7.85546875" style="27" customWidth="1"/>
    <col min="15079" max="15079" width="14.28515625" style="27" customWidth="1"/>
    <col min="15080" max="15080" width="7.85546875" style="27" customWidth="1"/>
    <col min="15081" max="15325" width="11.42578125" style="27"/>
    <col min="15326" max="15326" width="16" style="27" customWidth="1"/>
    <col min="15327" max="15333" width="17.5703125" style="27" customWidth="1"/>
    <col min="15334" max="15334" width="7.85546875" style="27" customWidth="1"/>
    <col min="15335" max="15335" width="14.28515625" style="27" customWidth="1"/>
    <col min="15336" max="15336" width="7.85546875" style="27" customWidth="1"/>
    <col min="15337" max="15581" width="11.42578125" style="27"/>
    <col min="15582" max="15582" width="16" style="27" customWidth="1"/>
    <col min="15583" max="15589" width="17.5703125" style="27" customWidth="1"/>
    <col min="15590" max="15590" width="7.85546875" style="27" customWidth="1"/>
    <col min="15591" max="15591" width="14.28515625" style="27" customWidth="1"/>
    <col min="15592" max="15592" width="7.85546875" style="27" customWidth="1"/>
    <col min="15593" max="15837" width="11.42578125" style="27"/>
    <col min="15838" max="15838" width="16" style="27" customWidth="1"/>
    <col min="15839" max="15845" width="17.5703125" style="27" customWidth="1"/>
    <col min="15846" max="15846" width="7.85546875" style="27" customWidth="1"/>
    <col min="15847" max="15847" width="14.28515625" style="27" customWidth="1"/>
    <col min="15848" max="15848" width="7.85546875" style="27" customWidth="1"/>
    <col min="15849" max="16093" width="11.42578125" style="27"/>
    <col min="16094" max="16094" width="16" style="27" customWidth="1"/>
    <col min="16095" max="16101" width="17.5703125" style="27" customWidth="1"/>
    <col min="16102" max="16102" width="7.85546875" style="27" customWidth="1"/>
    <col min="16103" max="16103" width="14.28515625" style="27" customWidth="1"/>
    <col min="16104" max="16104" width="7.85546875" style="27" customWidth="1"/>
    <col min="16105" max="16384" width="11.42578125" style="27"/>
  </cols>
  <sheetData>
    <row r="1" spans="1:8" x14ac:dyDescent="0.2">
      <c r="A1" s="4" t="s">
        <v>92</v>
      </c>
      <c r="B1" s="4"/>
      <c r="C1" s="4"/>
      <c r="D1" s="4"/>
      <c r="E1" s="4"/>
      <c r="F1" s="4"/>
      <c r="G1" s="188"/>
    </row>
    <row r="2" spans="1:8" ht="12.75" x14ac:dyDescent="0.2">
      <c r="A2" s="254" t="s">
        <v>223</v>
      </c>
      <c r="B2" s="255"/>
      <c r="C2" s="255"/>
      <c r="D2" s="255"/>
      <c r="E2" s="255"/>
      <c r="F2" s="255"/>
      <c r="G2" s="255"/>
    </row>
    <row r="3" spans="1:8" ht="12.75" x14ac:dyDescent="0.2">
      <c r="A3" s="256" t="s">
        <v>224</v>
      </c>
      <c r="B3" s="256"/>
      <c r="C3" s="256"/>
      <c r="D3" s="256"/>
      <c r="E3" s="256"/>
      <c r="F3" s="256"/>
      <c r="G3" s="26"/>
    </row>
    <row r="4" spans="1:8" ht="12.75" x14ac:dyDescent="0.2">
      <c r="A4" s="254" t="s">
        <v>225</v>
      </c>
      <c r="B4" s="255"/>
      <c r="C4" s="255"/>
      <c r="D4" s="255"/>
      <c r="E4" s="255"/>
      <c r="F4" s="255"/>
      <c r="G4" s="255"/>
    </row>
    <row r="5" spans="1:8" ht="12.75" x14ac:dyDescent="0.2">
      <c r="A5" s="173"/>
      <c r="B5" s="5"/>
      <c r="C5" s="5"/>
      <c r="D5" s="5"/>
      <c r="E5" s="5"/>
      <c r="F5" s="5"/>
      <c r="G5" s="5"/>
    </row>
    <row r="6" spans="1:8" ht="12.75" customHeight="1" x14ac:dyDescent="0.2">
      <c r="A6" s="248" t="s">
        <v>106</v>
      </c>
      <c r="B6" s="248"/>
      <c r="C6" s="248"/>
      <c r="D6" s="248"/>
      <c r="E6" s="248"/>
      <c r="F6" s="248"/>
      <c r="G6" s="248"/>
      <c r="H6" s="248"/>
    </row>
    <row r="7" spans="1:8" ht="12.75" customHeight="1" x14ac:dyDescent="0.2">
      <c r="A7" s="248" t="str">
        <f>'OPĆI DIO'!A7:I7</f>
        <v>ZA RAZDOBLJE 01.01.-31.12.2023.</v>
      </c>
      <c r="B7" s="248"/>
      <c r="C7" s="248"/>
      <c r="D7" s="248"/>
      <c r="E7" s="248"/>
      <c r="F7" s="248"/>
      <c r="G7" s="248"/>
      <c r="H7" s="248"/>
    </row>
    <row r="9" spans="1:8" s="92" customFormat="1" x14ac:dyDescent="0.2">
      <c r="A9" s="273" t="s">
        <v>164</v>
      </c>
      <c r="B9" s="273"/>
      <c r="C9" s="273"/>
      <c r="D9" s="273"/>
      <c r="E9" s="273"/>
      <c r="F9" s="273"/>
      <c r="G9" s="273"/>
      <c r="H9" s="273"/>
    </row>
    <row r="10" spans="1:8" s="4" customFormat="1" x14ac:dyDescent="0.2">
      <c r="C10" s="121"/>
      <c r="D10" s="121"/>
      <c r="E10" s="121"/>
      <c r="F10" s="121"/>
      <c r="G10" s="190"/>
      <c r="H10" s="188"/>
    </row>
    <row r="11" spans="1:8" s="4" customFormat="1" ht="57.6" customHeight="1" x14ac:dyDescent="0.2">
      <c r="A11" s="73" t="s">
        <v>207</v>
      </c>
      <c r="B11" s="73" t="s">
        <v>163</v>
      </c>
      <c r="C11" s="57" t="s">
        <v>176</v>
      </c>
      <c r="D11" s="57" t="s">
        <v>238</v>
      </c>
      <c r="E11" s="57" t="s">
        <v>249</v>
      </c>
      <c r="F11" s="57" t="s">
        <v>239</v>
      </c>
      <c r="G11" s="191" t="s">
        <v>107</v>
      </c>
      <c r="H11" s="191" t="s">
        <v>107</v>
      </c>
    </row>
    <row r="12" spans="1:8" s="123" customFormat="1" ht="11.25" customHeight="1" x14ac:dyDescent="0.15">
      <c r="A12" s="271">
        <v>1</v>
      </c>
      <c r="B12" s="272"/>
      <c r="C12" s="124">
        <v>2</v>
      </c>
      <c r="D12" s="124">
        <v>3</v>
      </c>
      <c r="E12" s="124"/>
      <c r="F12" s="124">
        <v>4</v>
      </c>
      <c r="G12" s="192" t="s">
        <v>208</v>
      </c>
      <c r="H12" s="192" t="s">
        <v>209</v>
      </c>
    </row>
    <row r="13" spans="1:8" s="101" customFormat="1" ht="21.75" customHeight="1" x14ac:dyDescent="0.2">
      <c r="A13" s="125">
        <v>6</v>
      </c>
      <c r="B13" s="126" t="s">
        <v>124</v>
      </c>
      <c r="C13" s="127">
        <f>C14+C20+C22+C25</f>
        <v>1221649.976951357</v>
      </c>
      <c r="D13" s="127">
        <f>D14+D20+D22+D25</f>
        <v>1812496.6199999999</v>
      </c>
      <c r="E13" s="127">
        <f>E14+E20+E22+E25</f>
        <v>1802308.26</v>
      </c>
      <c r="F13" s="127">
        <f>F14+F20+F22+F25</f>
        <v>1795584.68</v>
      </c>
      <c r="G13" s="193">
        <f>ROUND(F13/C13*100,2)</f>
        <v>146.97999999999999</v>
      </c>
      <c r="H13" s="193">
        <f>ROUND(F13/D13*100,2)</f>
        <v>99.07</v>
      </c>
    </row>
    <row r="14" spans="1:8" s="2" customFormat="1" ht="21.75" customHeight="1" x14ac:dyDescent="0.2">
      <c r="A14" s="74">
        <v>63</v>
      </c>
      <c r="B14" s="111" t="s">
        <v>125</v>
      </c>
      <c r="C14" s="209">
        <f>SUM(C15:C19)</f>
        <v>1200631.7778220186</v>
      </c>
      <c r="D14" s="209">
        <f>SUM(D15:D19)</f>
        <v>1649008.93</v>
      </c>
      <c r="E14" s="209">
        <f>SUM(E15:E19)</f>
        <v>1646729.32</v>
      </c>
      <c r="F14" s="209">
        <f>SUM(F15:F19)</f>
        <v>1640855.9400000002</v>
      </c>
      <c r="G14" s="210">
        <f>ROUND(F14/C14*100,2)</f>
        <v>136.66999999999999</v>
      </c>
      <c r="H14" s="210">
        <f t="shared" ref="H14:H33" si="0">ROUND(F14/D14*100,2)</f>
        <v>99.51</v>
      </c>
    </row>
    <row r="15" spans="1:8" s="4" customFormat="1" ht="21.75" customHeight="1" x14ac:dyDescent="0.2">
      <c r="A15" s="225">
        <v>633</v>
      </c>
      <c r="B15" s="226" t="s">
        <v>237</v>
      </c>
      <c r="C15" s="229">
        <v>0</v>
      </c>
      <c r="D15" s="229">
        <v>0</v>
      </c>
      <c r="E15" s="229">
        <v>0</v>
      </c>
      <c r="F15" s="229">
        <v>0</v>
      </c>
      <c r="G15" s="230"/>
      <c r="H15" s="230"/>
    </row>
    <row r="16" spans="1:8" s="77" customFormat="1" ht="21.75" customHeight="1" x14ac:dyDescent="0.2">
      <c r="A16" s="75">
        <v>634</v>
      </c>
      <c r="B16" s="76" t="s">
        <v>212</v>
      </c>
      <c r="C16" s="128">
        <v>0</v>
      </c>
      <c r="D16" s="128">
        <f>'prihodi programska'!D33</f>
        <v>1501.58</v>
      </c>
      <c r="E16" s="128">
        <f>'prihodi programska'!E33</f>
        <v>1501.58</v>
      </c>
      <c r="F16" s="128">
        <f>'prihodi programska'!E33</f>
        <v>1501.58</v>
      </c>
      <c r="G16" s="194" t="e">
        <f t="shared" ref="G16:G33" si="1">ROUND(F16/C16*100,2)</f>
        <v>#DIV/0!</v>
      </c>
      <c r="H16" s="194">
        <f t="shared" si="0"/>
        <v>100</v>
      </c>
    </row>
    <row r="17" spans="1:9" s="77" customFormat="1" ht="21.75" customHeight="1" x14ac:dyDescent="0.2">
      <c r="A17" s="75">
        <v>636</v>
      </c>
      <c r="B17" s="76" t="s">
        <v>126</v>
      </c>
      <c r="C17" s="128">
        <f>9040668.78/7.5345</f>
        <v>1199902.9504280309</v>
      </c>
      <c r="D17" s="128">
        <f>'prihodi programska'!D35</f>
        <v>1604260.29</v>
      </c>
      <c r="E17" s="128">
        <f>'prihodi programska'!E35</f>
        <v>1604260.29</v>
      </c>
      <c r="F17" s="128">
        <f>'prihodi programska'!E35</f>
        <v>1604260.29</v>
      </c>
      <c r="G17" s="194">
        <f t="shared" si="1"/>
        <v>133.69999999999999</v>
      </c>
      <c r="H17" s="194">
        <f t="shared" si="0"/>
        <v>100</v>
      </c>
    </row>
    <row r="18" spans="1:9" s="77" customFormat="1" ht="21.75" customHeight="1" x14ac:dyDescent="0.2">
      <c r="A18" s="75">
        <v>638</v>
      </c>
      <c r="B18" s="76" t="s">
        <v>169</v>
      </c>
      <c r="C18" s="128">
        <v>0</v>
      </c>
      <c r="D18" s="128">
        <f>'prihodi programska'!D39</f>
        <v>20648.41</v>
      </c>
      <c r="E18" s="128">
        <f>'prihodi programska'!E39</f>
        <v>20648.41</v>
      </c>
      <c r="F18" s="128">
        <f>'prihodi programska'!F39</f>
        <v>16201.81</v>
      </c>
      <c r="G18" s="194" t="e">
        <f t="shared" si="1"/>
        <v>#DIV/0!</v>
      </c>
      <c r="H18" s="194">
        <f t="shared" si="0"/>
        <v>78.47</v>
      </c>
    </row>
    <row r="19" spans="1:9" s="77" customFormat="1" ht="21.75" customHeight="1" x14ac:dyDescent="0.2">
      <c r="A19" s="75">
        <v>639</v>
      </c>
      <c r="B19" s="76" t="s">
        <v>127</v>
      </c>
      <c r="C19" s="128">
        <f>5491.35/7.5345</f>
        <v>728.82739398765682</v>
      </c>
      <c r="D19" s="128">
        <f>'prihodi programska'!D41+'prihodi programska'!D58</f>
        <v>22598.65</v>
      </c>
      <c r="E19" s="128">
        <f>'prihodi programska'!E41+'prihodi programska'!E58</f>
        <v>20319.04</v>
      </c>
      <c r="F19" s="128">
        <f>'prihodi programska'!F41+'prihodi programska'!F58</f>
        <v>18892.260000000002</v>
      </c>
      <c r="G19" s="194">
        <f t="shared" si="1"/>
        <v>2592.14</v>
      </c>
      <c r="H19" s="194">
        <f t="shared" si="0"/>
        <v>83.6</v>
      </c>
    </row>
    <row r="20" spans="1:9" s="80" customFormat="1" ht="21.75" customHeight="1" x14ac:dyDescent="0.2">
      <c r="A20" s="78">
        <v>65</v>
      </c>
      <c r="B20" s="79" t="s">
        <v>128</v>
      </c>
      <c r="C20" s="129">
        <f>C21</f>
        <v>2637.72</v>
      </c>
      <c r="D20" s="129">
        <f>D21</f>
        <v>0</v>
      </c>
      <c r="E20" s="129">
        <f>E21</f>
        <v>3500</v>
      </c>
      <c r="F20" s="129">
        <f>F21</f>
        <v>4130.4399999999996</v>
      </c>
      <c r="G20" s="195">
        <f t="shared" si="1"/>
        <v>156.59</v>
      </c>
      <c r="H20" s="195" t="e">
        <f t="shared" si="0"/>
        <v>#DIV/0!</v>
      </c>
    </row>
    <row r="21" spans="1:9" s="77" customFormat="1" ht="21.75" customHeight="1" x14ac:dyDescent="0.2">
      <c r="A21" s="81">
        <v>652</v>
      </c>
      <c r="B21" s="82" t="s">
        <v>152</v>
      </c>
      <c r="C21" s="128">
        <v>2637.72</v>
      </c>
      <c r="D21" s="128">
        <f>'prihodi programska'!D26</f>
        <v>0</v>
      </c>
      <c r="E21" s="128">
        <f>'prihodi programska'!E26</f>
        <v>3500</v>
      </c>
      <c r="F21" s="128">
        <f>'prihodi programska'!F26</f>
        <v>4130.4399999999996</v>
      </c>
      <c r="G21" s="194">
        <f t="shared" si="1"/>
        <v>156.59</v>
      </c>
      <c r="H21" s="194" t="e">
        <f t="shared" si="0"/>
        <v>#DIV/0!</v>
      </c>
    </row>
    <row r="22" spans="1:9" s="80" customFormat="1" ht="21.75" customHeight="1" x14ac:dyDescent="0.2">
      <c r="A22" s="83">
        <v>66</v>
      </c>
      <c r="B22" s="79" t="s">
        <v>129</v>
      </c>
      <c r="C22" s="129">
        <f>SUM(C23:C24)</f>
        <v>18380.479129338375</v>
      </c>
      <c r="D22" s="129">
        <f>SUM(D23:D24)</f>
        <v>27446.789999999997</v>
      </c>
      <c r="E22" s="129">
        <f>SUM(E23:E24)</f>
        <v>16038.04</v>
      </c>
      <c r="F22" s="129">
        <f>SUM(F23:F24)</f>
        <v>18513.900000000001</v>
      </c>
      <c r="G22" s="195">
        <f t="shared" si="1"/>
        <v>100.73</v>
      </c>
      <c r="H22" s="195">
        <f t="shared" si="0"/>
        <v>67.45</v>
      </c>
    </row>
    <row r="23" spans="1:9" s="77" customFormat="1" ht="21.75" customHeight="1" x14ac:dyDescent="0.2">
      <c r="A23" s="81">
        <v>661</v>
      </c>
      <c r="B23" s="76" t="s">
        <v>130</v>
      </c>
      <c r="C23" s="128">
        <f>138487.72/7.5345</f>
        <v>18380.479129338375</v>
      </c>
      <c r="D23" s="128">
        <f>'prihodi programska'!D19</f>
        <v>26177.1</v>
      </c>
      <c r="E23" s="128">
        <f>'prihodi programska'!E19</f>
        <v>15838.04</v>
      </c>
      <c r="F23" s="128">
        <f>'prihodi programska'!F19</f>
        <v>18513.900000000001</v>
      </c>
      <c r="G23" s="194">
        <f t="shared" si="1"/>
        <v>100.73</v>
      </c>
      <c r="H23" s="194">
        <f t="shared" si="0"/>
        <v>70.73</v>
      </c>
      <c r="I23" s="160"/>
    </row>
    <row r="24" spans="1:9" s="77" customFormat="1" ht="21.75" customHeight="1" x14ac:dyDescent="0.2">
      <c r="A24" s="81">
        <v>663</v>
      </c>
      <c r="B24" s="76" t="s">
        <v>131</v>
      </c>
      <c r="C24" s="128">
        <v>0</v>
      </c>
      <c r="D24" s="128">
        <f>'prihodi programska'!D46</f>
        <v>1269.69</v>
      </c>
      <c r="E24" s="128">
        <f>'prihodi programska'!E46</f>
        <v>200</v>
      </c>
      <c r="F24" s="128">
        <f>'prihodi programska'!F46</f>
        <v>0</v>
      </c>
      <c r="G24" s="194" t="e">
        <f t="shared" si="1"/>
        <v>#DIV/0!</v>
      </c>
      <c r="H24" s="194">
        <f t="shared" si="0"/>
        <v>0</v>
      </c>
    </row>
    <row r="25" spans="1:9" s="86" customFormat="1" ht="21.75" customHeight="1" x14ac:dyDescent="0.2">
      <c r="A25" s="84">
        <v>67</v>
      </c>
      <c r="B25" s="85" t="s">
        <v>132</v>
      </c>
      <c r="C25" s="130">
        <f>C26</f>
        <v>0</v>
      </c>
      <c r="D25" s="130">
        <f>D26</f>
        <v>136040.9</v>
      </c>
      <c r="E25" s="130">
        <f>E26</f>
        <v>136040.9</v>
      </c>
      <c r="F25" s="130">
        <f>F26</f>
        <v>132084.4</v>
      </c>
      <c r="G25" s="196" t="e">
        <f t="shared" si="1"/>
        <v>#DIV/0!</v>
      </c>
      <c r="H25" s="196">
        <f t="shared" si="0"/>
        <v>97.09</v>
      </c>
    </row>
    <row r="26" spans="1:9" s="89" customFormat="1" ht="21.75" customHeight="1" x14ac:dyDescent="0.2">
      <c r="A26" s="87">
        <v>671</v>
      </c>
      <c r="B26" s="88" t="s">
        <v>133</v>
      </c>
      <c r="C26" s="131">
        <v>0</v>
      </c>
      <c r="D26" s="131">
        <f>'prihodi programska'!D15</f>
        <v>136040.9</v>
      </c>
      <c r="E26" s="131">
        <f>'prihodi programska'!E15</f>
        <v>136040.9</v>
      </c>
      <c r="F26" s="131">
        <f>'prihodi programska'!F15</f>
        <v>132084.4</v>
      </c>
      <c r="G26" s="197" t="e">
        <f t="shared" si="1"/>
        <v>#DIV/0!</v>
      </c>
      <c r="H26" s="197">
        <f t="shared" si="0"/>
        <v>97.09</v>
      </c>
      <c r="I26" s="171"/>
    </row>
    <row r="27" spans="1:9" s="101" customFormat="1" ht="21.75" customHeight="1" x14ac:dyDescent="0.2">
      <c r="A27" s="90">
        <v>7</v>
      </c>
      <c r="B27" s="91" t="s">
        <v>134</v>
      </c>
      <c r="C27" s="146">
        <f t="shared" ref="C27:F28" si="2">C28</f>
        <v>0</v>
      </c>
      <c r="D27" s="146">
        <f>D28</f>
        <v>9863.130000000001</v>
      </c>
      <c r="E27" s="146">
        <f>E28</f>
        <v>0</v>
      </c>
      <c r="F27" s="146">
        <f t="shared" si="2"/>
        <v>1383.35</v>
      </c>
      <c r="G27" s="198" t="e">
        <f t="shared" si="1"/>
        <v>#DIV/0!</v>
      </c>
      <c r="H27" s="198">
        <f t="shared" si="0"/>
        <v>14.03</v>
      </c>
      <c r="I27" s="170"/>
    </row>
    <row r="28" spans="1:9" s="95" customFormat="1" ht="21.75" customHeight="1" x14ac:dyDescent="0.2">
      <c r="A28" s="93">
        <v>72</v>
      </c>
      <c r="B28" s="94" t="s">
        <v>135</v>
      </c>
      <c r="C28" s="132">
        <f t="shared" si="2"/>
        <v>0</v>
      </c>
      <c r="D28" s="132">
        <f t="shared" si="2"/>
        <v>9863.130000000001</v>
      </c>
      <c r="E28" s="132"/>
      <c r="F28" s="132">
        <f t="shared" si="2"/>
        <v>1383.35</v>
      </c>
      <c r="G28" s="199" t="e">
        <f t="shared" si="1"/>
        <v>#DIV/0!</v>
      </c>
      <c r="H28" s="199">
        <f t="shared" si="0"/>
        <v>14.03</v>
      </c>
    </row>
    <row r="29" spans="1:9" s="98" customFormat="1" ht="21.75" customHeight="1" x14ac:dyDescent="0.2">
      <c r="A29" s="96">
        <v>721</v>
      </c>
      <c r="B29" s="97" t="s">
        <v>136</v>
      </c>
      <c r="C29" s="133">
        <v>0</v>
      </c>
      <c r="D29" s="133">
        <f>'prihodi programska'!D52</f>
        <v>9863.130000000001</v>
      </c>
      <c r="E29" s="133">
        <f>'prihodi programska'!E52</f>
        <v>1400</v>
      </c>
      <c r="F29" s="133">
        <f>'prihodi programska'!F52</f>
        <v>1383.35</v>
      </c>
      <c r="G29" s="200" t="e">
        <f t="shared" si="1"/>
        <v>#DIV/0!</v>
      </c>
      <c r="H29" s="200">
        <f t="shared" si="0"/>
        <v>14.03</v>
      </c>
    </row>
    <row r="30" spans="1:9" s="101" customFormat="1" ht="21.75" customHeight="1" x14ac:dyDescent="0.2">
      <c r="A30" s="90">
        <v>92</v>
      </c>
      <c r="B30" s="91" t="s">
        <v>138</v>
      </c>
      <c r="C30" s="146">
        <f>C31</f>
        <v>0</v>
      </c>
      <c r="D30" s="146">
        <f>D31</f>
        <v>0</v>
      </c>
      <c r="E30" s="146">
        <f>E31</f>
        <v>0</v>
      </c>
      <c r="F30" s="146">
        <f>F31</f>
        <v>0</v>
      </c>
      <c r="G30" s="198" t="e">
        <f t="shared" si="1"/>
        <v>#DIV/0!</v>
      </c>
      <c r="H30" s="198" t="e">
        <f t="shared" si="0"/>
        <v>#DIV/0!</v>
      </c>
    </row>
    <row r="31" spans="1:9" s="98" customFormat="1" ht="21.75" customHeight="1" x14ac:dyDescent="0.2">
      <c r="A31" s="164">
        <v>922</v>
      </c>
      <c r="B31" s="165" t="s">
        <v>200</v>
      </c>
      <c r="C31" s="166">
        <v>0</v>
      </c>
      <c r="D31" s="166">
        <f>'prihodi programska'!D62</f>
        <v>0</v>
      </c>
      <c r="E31" s="166">
        <f>'prihodi programska'!E62</f>
        <v>0</v>
      </c>
      <c r="F31" s="166">
        <f>'prihodi programska'!F62</f>
        <v>0</v>
      </c>
      <c r="G31" s="201" t="e">
        <f t="shared" si="1"/>
        <v>#DIV/0!</v>
      </c>
      <c r="H31" s="201" t="e">
        <f t="shared" si="0"/>
        <v>#DIV/0!</v>
      </c>
    </row>
    <row r="32" spans="1:9" s="101" customFormat="1" ht="21.75" customHeight="1" x14ac:dyDescent="0.2">
      <c r="A32" s="99"/>
      <c r="B32" s="100" t="s">
        <v>137</v>
      </c>
      <c r="C32" s="134">
        <f>C27+C13</f>
        <v>1221649.976951357</v>
      </c>
      <c r="D32" s="134">
        <f>D27+D13</f>
        <v>1822359.7499999998</v>
      </c>
      <c r="E32" s="134">
        <f>E27+E13</f>
        <v>1802308.26</v>
      </c>
      <c r="F32" s="134">
        <f>F27+F13</f>
        <v>1796968.03</v>
      </c>
      <c r="G32" s="202">
        <f t="shared" si="1"/>
        <v>147.09</v>
      </c>
      <c r="H32" s="203">
        <f t="shared" si="0"/>
        <v>98.61</v>
      </c>
    </row>
    <row r="33" spans="1:11" s="101" customFormat="1" ht="21.75" customHeight="1" x14ac:dyDescent="0.2">
      <c r="A33" s="99"/>
      <c r="B33" s="100" t="s">
        <v>210</v>
      </c>
      <c r="C33" s="134">
        <f>C32+C30</f>
        <v>1221649.976951357</v>
      </c>
      <c r="D33" s="134">
        <f>D32+D30</f>
        <v>1822359.7499999998</v>
      </c>
      <c r="E33" s="134">
        <f>E32+E30</f>
        <v>1802308.26</v>
      </c>
      <c r="F33" s="134">
        <f>F32+F30</f>
        <v>1796968.03</v>
      </c>
      <c r="G33" s="202">
        <f t="shared" si="1"/>
        <v>147.09</v>
      </c>
      <c r="H33" s="203">
        <f t="shared" si="0"/>
        <v>98.61</v>
      </c>
    </row>
    <row r="34" spans="1:11" s="101" customFormat="1" ht="21.75" customHeight="1" x14ac:dyDescent="0.2">
      <c r="A34" s="162"/>
      <c r="C34" s="163"/>
      <c r="D34" s="163"/>
      <c r="E34" s="163"/>
      <c r="F34" s="163"/>
      <c r="G34" s="204"/>
      <c r="H34" s="204"/>
    </row>
    <row r="35" spans="1:11" ht="57" customHeight="1" x14ac:dyDescent="0.2">
      <c r="A35" s="73" t="s">
        <v>207</v>
      </c>
      <c r="B35" s="73" t="s">
        <v>163</v>
      </c>
      <c r="C35" s="57" t="s">
        <v>176</v>
      </c>
      <c r="D35" s="57" t="s">
        <v>238</v>
      </c>
      <c r="E35" s="57" t="s">
        <v>249</v>
      </c>
      <c r="F35" s="57" t="s">
        <v>239</v>
      </c>
      <c r="G35" s="191" t="s">
        <v>107</v>
      </c>
      <c r="H35" s="191" t="s">
        <v>107</v>
      </c>
    </row>
    <row r="36" spans="1:11" ht="11.25" customHeight="1" x14ac:dyDescent="0.2">
      <c r="A36" s="271">
        <v>1</v>
      </c>
      <c r="B36" s="272"/>
      <c r="C36" s="124">
        <v>2</v>
      </c>
      <c r="D36" s="124">
        <v>3</v>
      </c>
      <c r="E36" s="124"/>
      <c r="F36" s="124">
        <v>4</v>
      </c>
      <c r="G36" s="192" t="s">
        <v>208</v>
      </c>
      <c r="H36" s="192" t="s">
        <v>209</v>
      </c>
    </row>
    <row r="37" spans="1:11" s="95" customFormat="1" ht="19.899999999999999" customHeight="1" x14ac:dyDescent="0.2">
      <c r="A37" s="125">
        <v>3</v>
      </c>
      <c r="B37" s="140" t="s">
        <v>140</v>
      </c>
      <c r="C37" s="141">
        <f>C38+C42+C48+C50+C52</f>
        <v>1375567.1391598645</v>
      </c>
      <c r="D37" s="141">
        <f>D38+D42+D48+D50+D52</f>
        <v>1817040.2899999998</v>
      </c>
      <c r="E37" s="141">
        <f>E38+E42+E48+E50+E52</f>
        <v>1801047.07</v>
      </c>
      <c r="F37" s="141">
        <f>F38+F42+F48+F50+F52</f>
        <v>1371071.52</v>
      </c>
      <c r="G37" s="206">
        <f t="shared" ref="G37:G51" si="3">ROUND(F37/C37*100,2)</f>
        <v>99.67</v>
      </c>
      <c r="H37" s="206">
        <f t="shared" ref="H37:H58" si="4">ROUND(F37/D37*100,2)</f>
        <v>75.459999999999994</v>
      </c>
      <c r="K37" s="172"/>
    </row>
    <row r="38" spans="1:11" s="92" customFormat="1" ht="19.899999999999999" customHeight="1" x14ac:dyDescent="0.2">
      <c r="A38" s="93">
        <v>31</v>
      </c>
      <c r="B38" s="94" t="s">
        <v>141</v>
      </c>
      <c r="C38" s="142">
        <f>SUM(C39:C41)</f>
        <v>1209546.8909682129</v>
      </c>
      <c r="D38" s="142">
        <f>SUM(D39:D41)</f>
        <v>1610357.1199999999</v>
      </c>
      <c r="E38" s="142">
        <f>SUM(E39:E41)</f>
        <v>1595911.6</v>
      </c>
      <c r="F38" s="142">
        <f>SUM(F39:F41)</f>
        <v>1214212.83</v>
      </c>
      <c r="G38" s="207">
        <f t="shared" si="3"/>
        <v>100.39</v>
      </c>
      <c r="H38" s="207">
        <f t="shared" si="4"/>
        <v>75.400000000000006</v>
      </c>
    </row>
    <row r="39" spans="1:11" ht="19.899999999999999" customHeight="1" x14ac:dyDescent="0.2">
      <c r="A39" s="96">
        <v>311</v>
      </c>
      <c r="B39" s="143" t="s">
        <v>142</v>
      </c>
      <c r="C39" s="144">
        <f>'rashodi-programska'!C19+'rashodi-programska'!C120+'rashodi-programska'!C199+'rashodi-programska'!C212</f>
        <v>1001680.0106178246</v>
      </c>
      <c r="D39" s="144">
        <f>'rashodi-programska'!D62+'rashodi-programska'!D120+'rashodi-programska'!D199+'rashodi-programska'!D212</f>
        <v>1318764.1499999999</v>
      </c>
      <c r="E39" s="144">
        <f>'rashodi-programska'!E62+'rashodi-programska'!E120+'rashodi-programska'!E199+'rashodi-programska'!E212</f>
        <v>1308204.76</v>
      </c>
      <c r="F39" s="144">
        <f>'rashodi-programska'!F62+'rashodi-programska'!F120+'rashodi-programska'!F199+'rashodi-programska'!F212</f>
        <v>1002106.84</v>
      </c>
      <c r="G39" s="208">
        <f t="shared" si="3"/>
        <v>100.04</v>
      </c>
      <c r="H39" s="208">
        <f t="shared" si="4"/>
        <v>75.989999999999995</v>
      </c>
    </row>
    <row r="40" spans="1:11" ht="19.899999999999999" customHeight="1" x14ac:dyDescent="0.2">
      <c r="A40" s="96">
        <v>312</v>
      </c>
      <c r="B40" s="143" t="s">
        <v>74</v>
      </c>
      <c r="C40" s="144">
        <f>'rashodi-programska'!C19+'rashodi-programska'!C64+'rashodi-programska'!C122+'rashodi-programska'!C201+'rashodi-programska'!C214</f>
        <v>47773.548344282957</v>
      </c>
      <c r="D40" s="144">
        <f>'rashodi-programska'!D19+'rashodi-programska'!D64+'rashodi-programska'!D122+'rashodi-programska'!D201+'rashodi-programska'!D214</f>
        <v>103335.55</v>
      </c>
      <c r="E40" s="144">
        <f>'rashodi-programska'!E19+'rashodi-programska'!E64+'rashodi-programska'!E122+'rashodi-programska'!E201+'rashodi-programska'!E214</f>
        <v>102506.05</v>
      </c>
      <c r="F40" s="144">
        <f>'rashodi-programska'!F19+'rashodi-programska'!F64+'rashodi-programska'!F122+'rashodi-programska'!F201+'rashodi-programska'!F214</f>
        <v>50676.14</v>
      </c>
      <c r="G40" s="208">
        <f t="shared" si="3"/>
        <v>106.08</v>
      </c>
      <c r="H40" s="208">
        <f t="shared" si="4"/>
        <v>49.04</v>
      </c>
    </row>
    <row r="41" spans="1:11" ht="19.899999999999999" customHeight="1" x14ac:dyDescent="0.2">
      <c r="A41" s="96">
        <v>313</v>
      </c>
      <c r="B41" s="143" t="s">
        <v>111</v>
      </c>
      <c r="C41" s="144">
        <f>'rashodi-programska'!C66+'rashodi-programska'!C124+'rashodi-programska'!C203+'rashodi-programska'!C216</f>
        <v>160093.33200610525</v>
      </c>
      <c r="D41" s="144">
        <f>'rashodi-programska'!D66+'rashodi-programska'!D124+'rashodi-programska'!D203+'rashodi-programska'!D216</f>
        <v>188257.42</v>
      </c>
      <c r="E41" s="144">
        <f>'rashodi-programska'!E66+'rashodi-programska'!E124+'rashodi-programska'!E203+'rashodi-programska'!E216</f>
        <v>185200.79</v>
      </c>
      <c r="F41" s="144">
        <f>'rashodi-programska'!F66+'rashodi-programska'!F124+'rashodi-programska'!F203+'rashodi-programska'!F216</f>
        <v>161429.85</v>
      </c>
      <c r="G41" s="208">
        <f t="shared" si="3"/>
        <v>100.83</v>
      </c>
      <c r="H41" s="208">
        <f t="shared" si="4"/>
        <v>85.75</v>
      </c>
    </row>
    <row r="42" spans="1:11" s="92" customFormat="1" ht="19.899999999999999" customHeight="1" x14ac:dyDescent="0.2">
      <c r="A42" s="93">
        <v>32</v>
      </c>
      <c r="B42" s="94" t="s">
        <v>143</v>
      </c>
      <c r="C42" s="142">
        <f>SUM(C43:C47)</f>
        <v>166020.24819165171</v>
      </c>
      <c r="D42" s="142">
        <f>SUM(D43:D47)</f>
        <v>206233.16999999998</v>
      </c>
      <c r="E42" s="142">
        <f>SUM(E43:E47)</f>
        <v>204685.47</v>
      </c>
      <c r="F42" s="142">
        <f>SUM(F43:F47)</f>
        <v>156425.65000000002</v>
      </c>
      <c r="G42" s="207">
        <f t="shared" si="3"/>
        <v>94.22</v>
      </c>
      <c r="H42" s="207">
        <f t="shared" si="4"/>
        <v>75.849999999999994</v>
      </c>
    </row>
    <row r="43" spans="1:11" ht="19.899999999999999" customHeight="1" x14ac:dyDescent="0.2">
      <c r="A43" s="96">
        <v>321</v>
      </c>
      <c r="B43" s="143" t="s">
        <v>113</v>
      </c>
      <c r="C43" s="144">
        <f>'rashodi-programska'!C22+'rashodi-programska'!C69+'rashodi-programska'!C128+'rashodi-programska'!C167+'rashodi-programska'!C206+'rashodi-programska'!C219</f>
        <v>36744.439577941463</v>
      </c>
      <c r="D43" s="144">
        <f>'rashodi-programska'!D22+'rashodi-programska'!D69+'rashodi-programska'!D128+'rashodi-programska'!D167+'rashodi-programska'!D206+'rashodi-programska'!D219</f>
        <v>65718.509999999995</v>
      </c>
      <c r="E43" s="144">
        <f>'rashodi-programska'!E22+'rashodi-programska'!E69+'rashodi-programska'!E128+'rashodi-programska'!E167+'rashodi-programska'!E206+'rashodi-programska'!E219</f>
        <v>63670.81</v>
      </c>
      <c r="F43" s="144">
        <f>'rashodi-programska'!F22+'rashodi-programska'!F69+'rashodi-programska'!F128+'rashodi-programska'!F167+'rashodi-programska'!F206+'rashodi-programska'!F219</f>
        <v>43829.54</v>
      </c>
      <c r="G43" s="208">
        <f t="shared" si="3"/>
        <v>119.28</v>
      </c>
      <c r="H43" s="208">
        <f t="shared" si="4"/>
        <v>66.69</v>
      </c>
    </row>
    <row r="44" spans="1:11" ht="19.899999999999999" customHeight="1" x14ac:dyDescent="0.2">
      <c r="A44" s="96">
        <v>322</v>
      </c>
      <c r="B44" s="143" t="s">
        <v>114</v>
      </c>
      <c r="C44" s="144">
        <f>'rashodi-programska'!C27+'rashodi-programska'!C72+'rashodi-programska'!C100+'rashodi-programska'!C131+'rashodi-programska'!C169+'rashodi-programska'!C187</f>
        <v>91568.637600371614</v>
      </c>
      <c r="D44" s="144">
        <f>'rashodi-programska'!D27+'rashodi-programska'!D72+'rashodi-programska'!D100+'rashodi-programska'!D131+'rashodi-programska'!D169+'rashodi-programska'!D187</f>
        <v>89261.759999999995</v>
      </c>
      <c r="E44" s="144">
        <f>'rashodi-programska'!E27+'rashodi-programska'!E72+'rashodi-programska'!E100+'rashodi-programska'!E131+'rashodi-programska'!E169+'rashodi-programska'!E187</f>
        <v>89581.12000000001</v>
      </c>
      <c r="F44" s="144">
        <f>'rashodi-programska'!F27+'rashodi-programska'!F72+'rashodi-programska'!F100+'rashodi-programska'!F131+'rashodi-programska'!F169+'rashodi-programska'!F187</f>
        <v>71418.459999999992</v>
      </c>
      <c r="G44" s="208">
        <f t="shared" si="3"/>
        <v>77.989999999999995</v>
      </c>
      <c r="H44" s="208">
        <f t="shared" si="4"/>
        <v>80.010000000000005</v>
      </c>
    </row>
    <row r="45" spans="1:11" ht="19.899999999999999" customHeight="1" x14ac:dyDescent="0.2">
      <c r="A45" s="96">
        <v>323</v>
      </c>
      <c r="B45" s="143" t="s">
        <v>115</v>
      </c>
      <c r="C45" s="144">
        <f>'rashodi-programska'!C34+'rashodi-programska'!C78+'rashodi-programska'!C103+'rashodi-programska'!C135+'rashodi-programska'!C173+'rashodi-programska'!C190</f>
        <v>20509.848032384365</v>
      </c>
      <c r="D45" s="144">
        <f>'rashodi-programska'!D34+'rashodi-programska'!D78+'rashodi-programska'!D103+'rashodi-programska'!D135+'rashodi-programska'!D173+'rashodi-programska'!D190</f>
        <v>32361.280000000002</v>
      </c>
      <c r="E45" s="144">
        <f>'rashodi-programska'!E34+'rashodi-programska'!E78+'rashodi-programska'!E103+'rashodi-programska'!E135+'rashodi-programska'!E173+'rashodi-programska'!E190</f>
        <v>32541.920000000006</v>
      </c>
      <c r="F45" s="144">
        <f>'rashodi-programska'!F34+'rashodi-programska'!F78+'rashodi-programska'!F103+'rashodi-programska'!F135+'rashodi-programska'!F173+'rashodi-programska'!F190</f>
        <v>28573.95</v>
      </c>
      <c r="G45" s="208">
        <f t="shared" si="3"/>
        <v>139.32</v>
      </c>
      <c r="H45" s="208">
        <f t="shared" si="4"/>
        <v>88.3</v>
      </c>
    </row>
    <row r="46" spans="1:11" ht="19.899999999999999" customHeight="1" x14ac:dyDescent="0.2">
      <c r="A46" s="96">
        <v>324</v>
      </c>
      <c r="B46" s="143" t="s">
        <v>144</v>
      </c>
      <c r="C46" s="144">
        <f>'rashodi-programska'!C44+'rashodi-programska'!C106+'rashodi-programska'!C142</f>
        <v>0</v>
      </c>
      <c r="D46" s="144">
        <f>'rashodi-programska'!D44+'rashodi-programska'!D106+'rashodi-programska'!D142</f>
        <v>0</v>
      </c>
      <c r="E46" s="144">
        <f>'rashodi-programska'!E44+'rashodi-programska'!E106+'rashodi-programska'!F142</f>
        <v>0</v>
      </c>
      <c r="F46" s="144">
        <f>'rashodi-programska'!D44+'rashodi-programska'!D106+'rashodi-programska'!D142</f>
        <v>0</v>
      </c>
      <c r="G46" s="208" t="e">
        <f t="shared" si="3"/>
        <v>#DIV/0!</v>
      </c>
      <c r="H46" s="208" t="e">
        <f t="shared" si="4"/>
        <v>#DIV/0!</v>
      </c>
    </row>
    <row r="47" spans="1:11" ht="19.899999999999999" customHeight="1" x14ac:dyDescent="0.2">
      <c r="A47" s="96">
        <v>329</v>
      </c>
      <c r="B47" s="143" t="s">
        <v>44</v>
      </c>
      <c r="C47" s="144">
        <f>'rashodi-programska'!C46+'rashodi-programska'!C84+'rashodi-programska'!C108+'rashodi-programska'!C144+'rashodi-programska'!C176</f>
        <v>17197.322980954275</v>
      </c>
      <c r="D47" s="144">
        <f>'rashodi-programska'!D46+'rashodi-programska'!D84+'rashodi-programska'!D108+'rashodi-programska'!D144+'rashodi-programska'!D176</f>
        <v>18891.62</v>
      </c>
      <c r="E47" s="144">
        <f>'rashodi-programska'!E46+'rashodi-programska'!E84+'rashodi-programska'!E108+'rashodi-programska'!E144+'rashodi-programska'!E176</f>
        <v>18891.62</v>
      </c>
      <c r="F47" s="144">
        <f>'rashodi-programska'!F46+'rashodi-programska'!F84+'rashodi-programska'!F108+'rashodi-programska'!F144+'rashodi-programska'!F176</f>
        <v>12603.699999999999</v>
      </c>
      <c r="G47" s="208">
        <f t="shared" si="3"/>
        <v>73.290000000000006</v>
      </c>
      <c r="H47" s="208">
        <f t="shared" si="4"/>
        <v>66.72</v>
      </c>
    </row>
    <row r="48" spans="1:11" s="92" customFormat="1" ht="19.899999999999999" customHeight="1" x14ac:dyDescent="0.2">
      <c r="A48" s="93">
        <v>34</v>
      </c>
      <c r="B48" s="94" t="s">
        <v>145</v>
      </c>
      <c r="C48" s="142">
        <f>C49</f>
        <v>0</v>
      </c>
      <c r="D48" s="142">
        <f>D49</f>
        <v>0</v>
      </c>
      <c r="E48" s="142">
        <f>E49</f>
        <v>0</v>
      </c>
      <c r="F48" s="142">
        <f>F49</f>
        <v>0</v>
      </c>
      <c r="G48" s="207" t="e">
        <f t="shared" si="3"/>
        <v>#DIV/0!</v>
      </c>
      <c r="H48" s="207" t="e">
        <f t="shared" si="4"/>
        <v>#DIV/0!</v>
      </c>
    </row>
    <row r="49" spans="1:9" ht="19.899999999999999" customHeight="1" x14ac:dyDescent="0.2">
      <c r="A49" s="96">
        <v>343</v>
      </c>
      <c r="B49" s="143" t="s">
        <v>116</v>
      </c>
      <c r="C49" s="144">
        <f>'rashodi-programska'!C53+'rashodi-programska'!C151</f>
        <v>0</v>
      </c>
      <c r="D49" s="144">
        <f>'rashodi-programska'!D53+'rashodi-programska'!D151</f>
        <v>0</v>
      </c>
      <c r="E49" s="144">
        <f>'rashodi-programska'!E53+'rashodi-programska'!E151</f>
        <v>0</v>
      </c>
      <c r="F49" s="144">
        <f>'rashodi-programska'!F53+'rashodi-programska'!F151</f>
        <v>0</v>
      </c>
      <c r="G49" s="208" t="e">
        <f t="shared" si="3"/>
        <v>#DIV/0!</v>
      </c>
      <c r="H49" s="208" t="e">
        <f t="shared" si="4"/>
        <v>#DIV/0!</v>
      </c>
    </row>
    <row r="50" spans="1:9" s="92" customFormat="1" ht="19.899999999999999" customHeight="1" x14ac:dyDescent="0.2">
      <c r="A50" s="93">
        <v>37</v>
      </c>
      <c r="B50" s="94" t="s">
        <v>165</v>
      </c>
      <c r="C50" s="142">
        <f>C51</f>
        <v>0</v>
      </c>
      <c r="D50" s="142">
        <f>D51</f>
        <v>0</v>
      </c>
      <c r="E50" s="142">
        <f>E51</f>
        <v>0</v>
      </c>
      <c r="F50" s="142">
        <f>F51</f>
        <v>0</v>
      </c>
      <c r="G50" s="207" t="e">
        <f t="shared" si="3"/>
        <v>#DIV/0!</v>
      </c>
      <c r="H50" s="207" t="e">
        <f t="shared" si="4"/>
        <v>#DIV/0!</v>
      </c>
    </row>
    <row r="51" spans="1:9" ht="19.899999999999999" customHeight="1" x14ac:dyDescent="0.2">
      <c r="A51" s="96">
        <v>372</v>
      </c>
      <c r="B51" s="143" t="s">
        <v>166</v>
      </c>
      <c r="C51" s="144">
        <f>'rashodi-programska'!C154</f>
        <v>0</v>
      </c>
      <c r="D51" s="144">
        <f>'rashodi-programska'!D154</f>
        <v>0</v>
      </c>
      <c r="E51" s="144">
        <f>'rashodi-programska'!E154</f>
        <v>0</v>
      </c>
      <c r="F51" s="144">
        <f>'rashodi-programska'!F154</f>
        <v>0</v>
      </c>
      <c r="G51" s="208" t="e">
        <f t="shared" si="3"/>
        <v>#DIV/0!</v>
      </c>
      <c r="H51" s="208" t="e">
        <f t="shared" si="4"/>
        <v>#DIV/0!</v>
      </c>
    </row>
    <row r="52" spans="1:9" s="92" customFormat="1" ht="19.899999999999999" customHeight="1" x14ac:dyDescent="0.2">
      <c r="A52" s="93">
        <v>38</v>
      </c>
      <c r="B52" s="94" t="s">
        <v>245</v>
      </c>
      <c r="C52" s="142">
        <f>C53</f>
        <v>0</v>
      </c>
      <c r="D52" s="142">
        <f>D53</f>
        <v>450</v>
      </c>
      <c r="E52" s="142">
        <f>E53</f>
        <v>450</v>
      </c>
      <c r="F52" s="142">
        <f>F53</f>
        <v>433.04</v>
      </c>
      <c r="G52" s="207"/>
      <c r="H52" s="207"/>
    </row>
    <row r="53" spans="1:9" ht="19.899999999999999" customHeight="1" x14ac:dyDescent="0.2">
      <c r="A53" s="96">
        <v>381</v>
      </c>
      <c r="B53" s="143" t="s">
        <v>54</v>
      </c>
      <c r="C53" s="144">
        <f>'rashodi-programska'!C57+'rashodi-programska'!C157</f>
        <v>0</v>
      </c>
      <c r="D53" s="144">
        <f>'rashodi-programska'!D57+'rashodi-programska'!D157</f>
        <v>450</v>
      </c>
      <c r="E53" s="144">
        <f>'rashodi-programska'!E57+'rashodi-programska'!E157</f>
        <v>450</v>
      </c>
      <c r="F53" s="144">
        <f>'rashodi-programska'!F157+'rashodi-programska'!F56</f>
        <v>433.04</v>
      </c>
      <c r="G53" s="208"/>
      <c r="H53" s="208"/>
    </row>
    <row r="54" spans="1:9" s="95" customFormat="1" ht="19.899999999999999" customHeight="1" x14ac:dyDescent="0.2">
      <c r="A54" s="90">
        <v>4</v>
      </c>
      <c r="B54" s="145" t="s">
        <v>99</v>
      </c>
      <c r="C54" s="146">
        <f>C55</f>
        <v>7081.8554648616364</v>
      </c>
      <c r="D54" s="146">
        <f>D55</f>
        <v>30527.14</v>
      </c>
      <c r="E54" s="146">
        <f>E55</f>
        <v>23527.14</v>
      </c>
      <c r="F54" s="146">
        <f>F55</f>
        <v>8719.76</v>
      </c>
      <c r="G54" s="198">
        <f>ROUND(F54/C54*100,2)</f>
        <v>123.13</v>
      </c>
      <c r="H54" s="198">
        <f t="shared" si="4"/>
        <v>28.56</v>
      </c>
      <c r="I54" s="172"/>
    </row>
    <row r="55" spans="1:9" s="92" customFormat="1" ht="19.899999999999999" customHeight="1" x14ac:dyDescent="0.2">
      <c r="A55" s="93">
        <v>42</v>
      </c>
      <c r="B55" s="94" t="s">
        <v>146</v>
      </c>
      <c r="C55" s="142">
        <f>SUM(C56:C57)</f>
        <v>7081.8554648616364</v>
      </c>
      <c r="D55" s="142">
        <f>SUM(D56:D57)</f>
        <v>30527.14</v>
      </c>
      <c r="E55" s="142">
        <f>SUM(E56:E57)</f>
        <v>23527.14</v>
      </c>
      <c r="F55" s="142">
        <f>SUM(F56:F57)</f>
        <v>8719.76</v>
      </c>
      <c r="G55" s="207">
        <f>ROUND(F55/C55*100,2)</f>
        <v>123.13</v>
      </c>
      <c r="H55" s="207">
        <f t="shared" si="4"/>
        <v>28.56</v>
      </c>
    </row>
    <row r="56" spans="1:9" ht="19.899999999999999" customHeight="1" x14ac:dyDescent="0.2">
      <c r="A56" s="96">
        <v>422</v>
      </c>
      <c r="B56" s="143" t="s">
        <v>118</v>
      </c>
      <c r="C56" s="144">
        <f>'rashodi-programska'!C89+'rashodi-programska'!C113+'rashodi-programska'!C159+'rashodi-programska'!C180+'rashodi-programska'!C193</f>
        <v>6277.1915853739465</v>
      </c>
      <c r="D56" s="144">
        <f>'rashodi-programska'!D89+'rashodi-programska'!D113+'rashodi-programska'!D159+'rashodi-programska'!D180+'rashodi-programska'!D193</f>
        <v>28827.14</v>
      </c>
      <c r="E56" s="144">
        <f>'rashodi-programska'!E89+'rashodi-programska'!E113+'rashodi-programska'!E159+'rashodi-programska'!E180+'rashodi-programska'!E193</f>
        <v>21827.14</v>
      </c>
      <c r="F56" s="144">
        <f>'rashodi-programska'!F89+'rashodi-programska'!F113+'rashodi-programska'!F159+'rashodi-programska'!F180+'rashodi-programska'!F193</f>
        <v>8099.41</v>
      </c>
      <c r="G56" s="208">
        <f>ROUND(F56/C56*100,2)</f>
        <v>129.03</v>
      </c>
      <c r="H56" s="208">
        <f t="shared" si="4"/>
        <v>28.1</v>
      </c>
    </row>
    <row r="57" spans="1:9" ht="19.899999999999999" customHeight="1" x14ac:dyDescent="0.2">
      <c r="A57" s="96">
        <v>424</v>
      </c>
      <c r="B57" s="143" t="s">
        <v>147</v>
      </c>
      <c r="C57" s="144">
        <f>'rashodi-programska'!C96+'rashodi-programska'!C116+'rashodi-programska'!C163+'rashodi-programska'!C183</f>
        <v>804.66387948768988</v>
      </c>
      <c r="D57" s="144">
        <f>'rashodi-programska'!D96+'rashodi-programska'!D116+'rashodi-programska'!D163+'rashodi-programska'!D183</f>
        <v>1700</v>
      </c>
      <c r="E57" s="144">
        <f>'rashodi-programska'!E96+'rashodi-programska'!E116+'rashodi-programska'!E163+'rashodi-programska'!E183</f>
        <v>1700</v>
      </c>
      <c r="F57" s="144">
        <f>'rashodi-programska'!F96+'rashodi-programska'!F116+'rashodi-programska'!F163+'rashodi-programska'!F183</f>
        <v>620.35</v>
      </c>
      <c r="G57" s="208">
        <f>ROUND(F57/C57*100,2)</f>
        <v>77.09</v>
      </c>
      <c r="H57" s="208">
        <f t="shared" si="4"/>
        <v>36.49</v>
      </c>
    </row>
    <row r="58" spans="1:9" s="95" customFormat="1" ht="19.899999999999999" customHeight="1" x14ac:dyDescent="0.2">
      <c r="A58" s="99"/>
      <c r="B58" s="147" t="s">
        <v>148</v>
      </c>
      <c r="C58" s="134">
        <f>C37+C54</f>
        <v>1382648.9946247262</v>
      </c>
      <c r="D58" s="134">
        <f>D37+D54</f>
        <v>1847567.4299999997</v>
      </c>
      <c r="E58" s="134">
        <f>E37+E54</f>
        <v>1824574.21</v>
      </c>
      <c r="F58" s="134">
        <f>F37+F54</f>
        <v>1379791.28</v>
      </c>
      <c r="G58" s="203">
        <f>ROUND(F58/C58*100,2)</f>
        <v>99.79</v>
      </c>
      <c r="H58" s="203">
        <f t="shared" si="4"/>
        <v>74.680000000000007</v>
      </c>
    </row>
    <row r="59" spans="1:9" ht="19.899999999999999" customHeight="1" x14ac:dyDescent="0.2">
      <c r="H59" s="205"/>
    </row>
    <row r="60" spans="1:9" ht="19.899999999999999" customHeight="1" x14ac:dyDescent="0.2">
      <c r="H60" s="205"/>
    </row>
    <row r="61" spans="1:9" ht="19.899999999999999" customHeight="1" x14ac:dyDescent="0.2">
      <c r="H61" s="205"/>
    </row>
    <row r="62" spans="1:9" ht="19.899999999999999" customHeight="1" x14ac:dyDescent="0.2">
      <c r="H62" s="205"/>
    </row>
    <row r="63" spans="1:9" ht="19.899999999999999" customHeight="1" x14ac:dyDescent="0.2">
      <c r="H63" s="205"/>
    </row>
    <row r="64" spans="1:9" ht="19.899999999999999" customHeight="1" x14ac:dyDescent="0.2">
      <c r="H64" s="205"/>
    </row>
    <row r="65" spans="8:8" ht="19.899999999999999" customHeight="1" x14ac:dyDescent="0.2">
      <c r="H65" s="205"/>
    </row>
    <row r="66" spans="8:8" ht="19.899999999999999" customHeight="1" x14ac:dyDescent="0.2">
      <c r="H66" s="205"/>
    </row>
    <row r="67" spans="8:8" ht="19.899999999999999" customHeight="1" x14ac:dyDescent="0.2">
      <c r="H67" s="205"/>
    </row>
    <row r="68" spans="8:8" ht="19.899999999999999" customHeight="1" x14ac:dyDescent="0.2">
      <c r="H68" s="205"/>
    </row>
    <row r="69" spans="8:8" ht="19.899999999999999" customHeight="1" x14ac:dyDescent="0.2">
      <c r="H69" s="205"/>
    </row>
    <row r="70" spans="8:8" ht="19.899999999999999" customHeight="1" x14ac:dyDescent="0.2">
      <c r="H70" s="205"/>
    </row>
    <row r="71" spans="8:8" ht="19.899999999999999" customHeight="1" x14ac:dyDescent="0.2">
      <c r="H71" s="205"/>
    </row>
    <row r="72" spans="8:8" ht="19.899999999999999" customHeight="1" x14ac:dyDescent="0.2">
      <c r="H72" s="205"/>
    </row>
    <row r="73" spans="8:8" ht="19.899999999999999" customHeight="1" x14ac:dyDescent="0.2">
      <c r="H73" s="205"/>
    </row>
    <row r="74" spans="8:8" ht="19.899999999999999" customHeight="1" x14ac:dyDescent="0.2"/>
    <row r="75" spans="8:8" ht="19.899999999999999" customHeight="1" x14ac:dyDescent="0.2"/>
    <row r="76" spans="8:8" ht="19.899999999999999" customHeight="1" x14ac:dyDescent="0.2"/>
    <row r="77" spans="8:8" ht="19.899999999999999" customHeight="1" x14ac:dyDescent="0.2"/>
    <row r="78" spans="8:8" ht="19.899999999999999" customHeight="1" x14ac:dyDescent="0.2"/>
    <row r="79" spans="8:8" ht="19.899999999999999" customHeight="1" x14ac:dyDescent="0.2"/>
    <row r="80" spans="8:8" ht="19.899999999999999" customHeight="1" x14ac:dyDescent="0.2"/>
    <row r="81" ht="19.899999999999999" customHeight="1" x14ac:dyDescent="0.2"/>
    <row r="82" ht="19.899999999999999" customHeight="1" x14ac:dyDescent="0.2"/>
    <row r="83" ht="19.899999999999999" customHeight="1" x14ac:dyDescent="0.2"/>
    <row r="84" ht="19.899999999999999" customHeight="1" x14ac:dyDescent="0.2"/>
    <row r="85" ht="19.899999999999999" customHeight="1" x14ac:dyDescent="0.2"/>
    <row r="86" ht="19.899999999999999" customHeight="1" x14ac:dyDescent="0.2"/>
    <row r="87" ht="19.899999999999999" customHeight="1" x14ac:dyDescent="0.2"/>
  </sheetData>
  <mergeCells count="8">
    <mergeCell ref="A2:G2"/>
    <mergeCell ref="A3:F3"/>
    <mergeCell ref="A4:G4"/>
    <mergeCell ref="A12:B12"/>
    <mergeCell ref="A36:B36"/>
    <mergeCell ref="A6:H6"/>
    <mergeCell ref="A7:H7"/>
    <mergeCell ref="A9:H9"/>
  </mergeCells>
  <pageMargins left="0.78740157480314965" right="0" top="0.59055118110236227" bottom="0.39370078740157483" header="0.31496062992125984" footer="0.31496062992125984"/>
  <pageSetup paperSize="9" orientation="landscape" horizontalDpi="4294967293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workbookViewId="0">
      <selection activeCell="C40" sqref="C40"/>
    </sheetView>
  </sheetViews>
  <sheetFormatPr defaultColWidth="11.42578125" defaultRowHeight="11.25" x14ac:dyDescent="0.2"/>
  <cols>
    <col min="1" max="1" width="8" style="27" customWidth="1"/>
    <col min="2" max="2" width="40.140625" style="27" customWidth="1"/>
    <col min="3" max="4" width="13.42578125" style="122" customWidth="1"/>
    <col min="5" max="5" width="13.42578125" style="205" customWidth="1"/>
    <col min="6" max="221" width="11.42578125" style="27"/>
    <col min="222" max="222" width="16" style="27" customWidth="1"/>
    <col min="223" max="229" width="17.5703125" style="27" customWidth="1"/>
    <col min="230" max="230" width="7.85546875" style="27" customWidth="1"/>
    <col min="231" max="231" width="14.28515625" style="27" customWidth="1"/>
    <col min="232" max="232" width="7.85546875" style="27" customWidth="1"/>
    <col min="233" max="477" width="11.42578125" style="27"/>
    <col min="478" max="478" width="16" style="27" customWidth="1"/>
    <col min="479" max="485" width="17.5703125" style="27" customWidth="1"/>
    <col min="486" max="486" width="7.85546875" style="27" customWidth="1"/>
    <col min="487" max="487" width="14.28515625" style="27" customWidth="1"/>
    <col min="488" max="488" width="7.85546875" style="27" customWidth="1"/>
    <col min="489" max="733" width="11.42578125" style="27"/>
    <col min="734" max="734" width="16" style="27" customWidth="1"/>
    <col min="735" max="741" width="17.5703125" style="27" customWidth="1"/>
    <col min="742" max="742" width="7.85546875" style="27" customWidth="1"/>
    <col min="743" max="743" width="14.28515625" style="27" customWidth="1"/>
    <col min="744" max="744" width="7.85546875" style="27" customWidth="1"/>
    <col min="745" max="989" width="11.42578125" style="27"/>
    <col min="990" max="990" width="16" style="27" customWidth="1"/>
    <col min="991" max="997" width="17.5703125" style="27" customWidth="1"/>
    <col min="998" max="998" width="7.85546875" style="27" customWidth="1"/>
    <col min="999" max="999" width="14.28515625" style="27" customWidth="1"/>
    <col min="1000" max="1000" width="7.85546875" style="27" customWidth="1"/>
    <col min="1001" max="1245" width="11.42578125" style="27"/>
    <col min="1246" max="1246" width="16" style="27" customWidth="1"/>
    <col min="1247" max="1253" width="17.5703125" style="27" customWidth="1"/>
    <col min="1254" max="1254" width="7.85546875" style="27" customWidth="1"/>
    <col min="1255" max="1255" width="14.28515625" style="27" customWidth="1"/>
    <col min="1256" max="1256" width="7.85546875" style="27" customWidth="1"/>
    <col min="1257" max="1501" width="11.42578125" style="27"/>
    <col min="1502" max="1502" width="16" style="27" customWidth="1"/>
    <col min="1503" max="1509" width="17.5703125" style="27" customWidth="1"/>
    <col min="1510" max="1510" width="7.85546875" style="27" customWidth="1"/>
    <col min="1511" max="1511" width="14.28515625" style="27" customWidth="1"/>
    <col min="1512" max="1512" width="7.85546875" style="27" customWidth="1"/>
    <col min="1513" max="1757" width="11.42578125" style="27"/>
    <col min="1758" max="1758" width="16" style="27" customWidth="1"/>
    <col min="1759" max="1765" width="17.5703125" style="27" customWidth="1"/>
    <col min="1766" max="1766" width="7.85546875" style="27" customWidth="1"/>
    <col min="1767" max="1767" width="14.28515625" style="27" customWidth="1"/>
    <col min="1768" max="1768" width="7.85546875" style="27" customWidth="1"/>
    <col min="1769" max="2013" width="11.42578125" style="27"/>
    <col min="2014" max="2014" width="16" style="27" customWidth="1"/>
    <col min="2015" max="2021" width="17.5703125" style="27" customWidth="1"/>
    <col min="2022" max="2022" width="7.85546875" style="27" customWidth="1"/>
    <col min="2023" max="2023" width="14.28515625" style="27" customWidth="1"/>
    <col min="2024" max="2024" width="7.85546875" style="27" customWidth="1"/>
    <col min="2025" max="2269" width="11.42578125" style="27"/>
    <col min="2270" max="2270" width="16" style="27" customWidth="1"/>
    <col min="2271" max="2277" width="17.5703125" style="27" customWidth="1"/>
    <col min="2278" max="2278" width="7.85546875" style="27" customWidth="1"/>
    <col min="2279" max="2279" width="14.28515625" style="27" customWidth="1"/>
    <col min="2280" max="2280" width="7.85546875" style="27" customWidth="1"/>
    <col min="2281" max="2525" width="11.42578125" style="27"/>
    <col min="2526" max="2526" width="16" style="27" customWidth="1"/>
    <col min="2527" max="2533" width="17.5703125" style="27" customWidth="1"/>
    <col min="2534" max="2534" width="7.85546875" style="27" customWidth="1"/>
    <col min="2535" max="2535" width="14.28515625" style="27" customWidth="1"/>
    <col min="2536" max="2536" width="7.85546875" style="27" customWidth="1"/>
    <col min="2537" max="2781" width="11.42578125" style="27"/>
    <col min="2782" max="2782" width="16" style="27" customWidth="1"/>
    <col min="2783" max="2789" width="17.5703125" style="27" customWidth="1"/>
    <col min="2790" max="2790" width="7.85546875" style="27" customWidth="1"/>
    <col min="2791" max="2791" width="14.28515625" style="27" customWidth="1"/>
    <col min="2792" max="2792" width="7.85546875" style="27" customWidth="1"/>
    <col min="2793" max="3037" width="11.42578125" style="27"/>
    <col min="3038" max="3038" width="16" style="27" customWidth="1"/>
    <col min="3039" max="3045" width="17.5703125" style="27" customWidth="1"/>
    <col min="3046" max="3046" width="7.85546875" style="27" customWidth="1"/>
    <col min="3047" max="3047" width="14.28515625" style="27" customWidth="1"/>
    <col min="3048" max="3048" width="7.85546875" style="27" customWidth="1"/>
    <col min="3049" max="3293" width="11.42578125" style="27"/>
    <col min="3294" max="3294" width="16" style="27" customWidth="1"/>
    <col min="3295" max="3301" width="17.5703125" style="27" customWidth="1"/>
    <col min="3302" max="3302" width="7.85546875" style="27" customWidth="1"/>
    <col min="3303" max="3303" width="14.28515625" style="27" customWidth="1"/>
    <col min="3304" max="3304" width="7.85546875" style="27" customWidth="1"/>
    <col min="3305" max="3549" width="11.42578125" style="27"/>
    <col min="3550" max="3550" width="16" style="27" customWidth="1"/>
    <col min="3551" max="3557" width="17.5703125" style="27" customWidth="1"/>
    <col min="3558" max="3558" width="7.85546875" style="27" customWidth="1"/>
    <col min="3559" max="3559" width="14.28515625" style="27" customWidth="1"/>
    <col min="3560" max="3560" width="7.85546875" style="27" customWidth="1"/>
    <col min="3561" max="3805" width="11.42578125" style="27"/>
    <col min="3806" max="3806" width="16" style="27" customWidth="1"/>
    <col min="3807" max="3813" width="17.5703125" style="27" customWidth="1"/>
    <col min="3814" max="3814" width="7.85546875" style="27" customWidth="1"/>
    <col min="3815" max="3815" width="14.28515625" style="27" customWidth="1"/>
    <col min="3816" max="3816" width="7.85546875" style="27" customWidth="1"/>
    <col min="3817" max="4061" width="11.42578125" style="27"/>
    <col min="4062" max="4062" width="16" style="27" customWidth="1"/>
    <col min="4063" max="4069" width="17.5703125" style="27" customWidth="1"/>
    <col min="4070" max="4070" width="7.85546875" style="27" customWidth="1"/>
    <col min="4071" max="4071" width="14.28515625" style="27" customWidth="1"/>
    <col min="4072" max="4072" width="7.85546875" style="27" customWidth="1"/>
    <col min="4073" max="4317" width="11.42578125" style="27"/>
    <col min="4318" max="4318" width="16" style="27" customWidth="1"/>
    <col min="4319" max="4325" width="17.5703125" style="27" customWidth="1"/>
    <col min="4326" max="4326" width="7.85546875" style="27" customWidth="1"/>
    <col min="4327" max="4327" width="14.28515625" style="27" customWidth="1"/>
    <col min="4328" max="4328" width="7.85546875" style="27" customWidth="1"/>
    <col min="4329" max="4573" width="11.42578125" style="27"/>
    <col min="4574" max="4574" width="16" style="27" customWidth="1"/>
    <col min="4575" max="4581" width="17.5703125" style="27" customWidth="1"/>
    <col min="4582" max="4582" width="7.85546875" style="27" customWidth="1"/>
    <col min="4583" max="4583" width="14.28515625" style="27" customWidth="1"/>
    <col min="4584" max="4584" width="7.85546875" style="27" customWidth="1"/>
    <col min="4585" max="4829" width="11.42578125" style="27"/>
    <col min="4830" max="4830" width="16" style="27" customWidth="1"/>
    <col min="4831" max="4837" width="17.5703125" style="27" customWidth="1"/>
    <col min="4838" max="4838" width="7.85546875" style="27" customWidth="1"/>
    <col min="4839" max="4839" width="14.28515625" style="27" customWidth="1"/>
    <col min="4840" max="4840" width="7.85546875" style="27" customWidth="1"/>
    <col min="4841" max="5085" width="11.42578125" style="27"/>
    <col min="5086" max="5086" width="16" style="27" customWidth="1"/>
    <col min="5087" max="5093" width="17.5703125" style="27" customWidth="1"/>
    <col min="5094" max="5094" width="7.85546875" style="27" customWidth="1"/>
    <col min="5095" max="5095" width="14.28515625" style="27" customWidth="1"/>
    <col min="5096" max="5096" width="7.85546875" style="27" customWidth="1"/>
    <col min="5097" max="5341" width="11.42578125" style="27"/>
    <col min="5342" max="5342" width="16" style="27" customWidth="1"/>
    <col min="5343" max="5349" width="17.5703125" style="27" customWidth="1"/>
    <col min="5350" max="5350" width="7.85546875" style="27" customWidth="1"/>
    <col min="5351" max="5351" width="14.28515625" style="27" customWidth="1"/>
    <col min="5352" max="5352" width="7.85546875" style="27" customWidth="1"/>
    <col min="5353" max="5597" width="11.42578125" style="27"/>
    <col min="5598" max="5598" width="16" style="27" customWidth="1"/>
    <col min="5599" max="5605" width="17.5703125" style="27" customWidth="1"/>
    <col min="5606" max="5606" width="7.85546875" style="27" customWidth="1"/>
    <col min="5607" max="5607" width="14.28515625" style="27" customWidth="1"/>
    <col min="5608" max="5608" width="7.85546875" style="27" customWidth="1"/>
    <col min="5609" max="5853" width="11.42578125" style="27"/>
    <col min="5854" max="5854" width="16" style="27" customWidth="1"/>
    <col min="5855" max="5861" width="17.5703125" style="27" customWidth="1"/>
    <col min="5862" max="5862" width="7.85546875" style="27" customWidth="1"/>
    <col min="5863" max="5863" width="14.28515625" style="27" customWidth="1"/>
    <col min="5864" max="5864" width="7.85546875" style="27" customWidth="1"/>
    <col min="5865" max="6109" width="11.42578125" style="27"/>
    <col min="6110" max="6110" width="16" style="27" customWidth="1"/>
    <col min="6111" max="6117" width="17.5703125" style="27" customWidth="1"/>
    <col min="6118" max="6118" width="7.85546875" style="27" customWidth="1"/>
    <col min="6119" max="6119" width="14.28515625" style="27" customWidth="1"/>
    <col min="6120" max="6120" width="7.85546875" style="27" customWidth="1"/>
    <col min="6121" max="6365" width="11.42578125" style="27"/>
    <col min="6366" max="6366" width="16" style="27" customWidth="1"/>
    <col min="6367" max="6373" width="17.5703125" style="27" customWidth="1"/>
    <col min="6374" max="6374" width="7.85546875" style="27" customWidth="1"/>
    <col min="6375" max="6375" width="14.28515625" style="27" customWidth="1"/>
    <col min="6376" max="6376" width="7.85546875" style="27" customWidth="1"/>
    <col min="6377" max="6621" width="11.42578125" style="27"/>
    <col min="6622" max="6622" width="16" style="27" customWidth="1"/>
    <col min="6623" max="6629" width="17.5703125" style="27" customWidth="1"/>
    <col min="6630" max="6630" width="7.85546875" style="27" customWidth="1"/>
    <col min="6631" max="6631" width="14.28515625" style="27" customWidth="1"/>
    <col min="6632" max="6632" width="7.85546875" style="27" customWidth="1"/>
    <col min="6633" max="6877" width="11.42578125" style="27"/>
    <col min="6878" max="6878" width="16" style="27" customWidth="1"/>
    <col min="6879" max="6885" width="17.5703125" style="27" customWidth="1"/>
    <col min="6886" max="6886" width="7.85546875" style="27" customWidth="1"/>
    <col min="6887" max="6887" width="14.28515625" style="27" customWidth="1"/>
    <col min="6888" max="6888" width="7.85546875" style="27" customWidth="1"/>
    <col min="6889" max="7133" width="11.42578125" style="27"/>
    <col min="7134" max="7134" width="16" style="27" customWidth="1"/>
    <col min="7135" max="7141" width="17.5703125" style="27" customWidth="1"/>
    <col min="7142" max="7142" width="7.85546875" style="27" customWidth="1"/>
    <col min="7143" max="7143" width="14.28515625" style="27" customWidth="1"/>
    <col min="7144" max="7144" width="7.85546875" style="27" customWidth="1"/>
    <col min="7145" max="7389" width="11.42578125" style="27"/>
    <col min="7390" max="7390" width="16" style="27" customWidth="1"/>
    <col min="7391" max="7397" width="17.5703125" style="27" customWidth="1"/>
    <col min="7398" max="7398" width="7.85546875" style="27" customWidth="1"/>
    <col min="7399" max="7399" width="14.28515625" style="27" customWidth="1"/>
    <col min="7400" max="7400" width="7.85546875" style="27" customWidth="1"/>
    <col min="7401" max="7645" width="11.42578125" style="27"/>
    <col min="7646" max="7646" width="16" style="27" customWidth="1"/>
    <col min="7647" max="7653" width="17.5703125" style="27" customWidth="1"/>
    <col min="7654" max="7654" width="7.85546875" style="27" customWidth="1"/>
    <col min="7655" max="7655" width="14.28515625" style="27" customWidth="1"/>
    <col min="7656" max="7656" width="7.85546875" style="27" customWidth="1"/>
    <col min="7657" max="7901" width="11.42578125" style="27"/>
    <col min="7902" max="7902" width="16" style="27" customWidth="1"/>
    <col min="7903" max="7909" width="17.5703125" style="27" customWidth="1"/>
    <col min="7910" max="7910" width="7.85546875" style="27" customWidth="1"/>
    <col min="7911" max="7911" width="14.28515625" style="27" customWidth="1"/>
    <col min="7912" max="7912" width="7.85546875" style="27" customWidth="1"/>
    <col min="7913" max="8157" width="11.42578125" style="27"/>
    <col min="8158" max="8158" width="16" style="27" customWidth="1"/>
    <col min="8159" max="8165" width="17.5703125" style="27" customWidth="1"/>
    <col min="8166" max="8166" width="7.85546875" style="27" customWidth="1"/>
    <col min="8167" max="8167" width="14.28515625" style="27" customWidth="1"/>
    <col min="8168" max="8168" width="7.85546875" style="27" customWidth="1"/>
    <col min="8169" max="8413" width="11.42578125" style="27"/>
    <col min="8414" max="8414" width="16" style="27" customWidth="1"/>
    <col min="8415" max="8421" width="17.5703125" style="27" customWidth="1"/>
    <col min="8422" max="8422" width="7.85546875" style="27" customWidth="1"/>
    <col min="8423" max="8423" width="14.28515625" style="27" customWidth="1"/>
    <col min="8424" max="8424" width="7.85546875" style="27" customWidth="1"/>
    <col min="8425" max="8669" width="11.42578125" style="27"/>
    <col min="8670" max="8670" width="16" style="27" customWidth="1"/>
    <col min="8671" max="8677" width="17.5703125" style="27" customWidth="1"/>
    <col min="8678" max="8678" width="7.85546875" style="27" customWidth="1"/>
    <col min="8679" max="8679" width="14.28515625" style="27" customWidth="1"/>
    <col min="8680" max="8680" width="7.85546875" style="27" customWidth="1"/>
    <col min="8681" max="8925" width="11.42578125" style="27"/>
    <col min="8926" max="8926" width="16" style="27" customWidth="1"/>
    <col min="8927" max="8933" width="17.5703125" style="27" customWidth="1"/>
    <col min="8934" max="8934" width="7.85546875" style="27" customWidth="1"/>
    <col min="8935" max="8935" width="14.28515625" style="27" customWidth="1"/>
    <col min="8936" max="8936" width="7.85546875" style="27" customWidth="1"/>
    <col min="8937" max="9181" width="11.42578125" style="27"/>
    <col min="9182" max="9182" width="16" style="27" customWidth="1"/>
    <col min="9183" max="9189" width="17.5703125" style="27" customWidth="1"/>
    <col min="9190" max="9190" width="7.85546875" style="27" customWidth="1"/>
    <col min="9191" max="9191" width="14.28515625" style="27" customWidth="1"/>
    <col min="9192" max="9192" width="7.85546875" style="27" customWidth="1"/>
    <col min="9193" max="9437" width="11.42578125" style="27"/>
    <col min="9438" max="9438" width="16" style="27" customWidth="1"/>
    <col min="9439" max="9445" width="17.5703125" style="27" customWidth="1"/>
    <col min="9446" max="9446" width="7.85546875" style="27" customWidth="1"/>
    <col min="9447" max="9447" width="14.28515625" style="27" customWidth="1"/>
    <col min="9448" max="9448" width="7.85546875" style="27" customWidth="1"/>
    <col min="9449" max="9693" width="11.42578125" style="27"/>
    <col min="9694" max="9694" width="16" style="27" customWidth="1"/>
    <col min="9695" max="9701" width="17.5703125" style="27" customWidth="1"/>
    <col min="9702" max="9702" width="7.85546875" style="27" customWidth="1"/>
    <col min="9703" max="9703" width="14.28515625" style="27" customWidth="1"/>
    <col min="9704" max="9704" width="7.85546875" style="27" customWidth="1"/>
    <col min="9705" max="9949" width="11.42578125" style="27"/>
    <col min="9950" max="9950" width="16" style="27" customWidth="1"/>
    <col min="9951" max="9957" width="17.5703125" style="27" customWidth="1"/>
    <col min="9958" max="9958" width="7.85546875" style="27" customWidth="1"/>
    <col min="9959" max="9959" width="14.28515625" style="27" customWidth="1"/>
    <col min="9960" max="9960" width="7.85546875" style="27" customWidth="1"/>
    <col min="9961" max="10205" width="11.42578125" style="27"/>
    <col min="10206" max="10206" width="16" style="27" customWidth="1"/>
    <col min="10207" max="10213" width="17.5703125" style="27" customWidth="1"/>
    <col min="10214" max="10214" width="7.85546875" style="27" customWidth="1"/>
    <col min="10215" max="10215" width="14.28515625" style="27" customWidth="1"/>
    <col min="10216" max="10216" width="7.85546875" style="27" customWidth="1"/>
    <col min="10217" max="10461" width="11.42578125" style="27"/>
    <col min="10462" max="10462" width="16" style="27" customWidth="1"/>
    <col min="10463" max="10469" width="17.5703125" style="27" customWidth="1"/>
    <col min="10470" max="10470" width="7.85546875" style="27" customWidth="1"/>
    <col min="10471" max="10471" width="14.28515625" style="27" customWidth="1"/>
    <col min="10472" max="10472" width="7.85546875" style="27" customWidth="1"/>
    <col min="10473" max="10717" width="11.42578125" style="27"/>
    <col min="10718" max="10718" width="16" style="27" customWidth="1"/>
    <col min="10719" max="10725" width="17.5703125" style="27" customWidth="1"/>
    <col min="10726" max="10726" width="7.85546875" style="27" customWidth="1"/>
    <col min="10727" max="10727" width="14.28515625" style="27" customWidth="1"/>
    <col min="10728" max="10728" width="7.85546875" style="27" customWidth="1"/>
    <col min="10729" max="10973" width="11.42578125" style="27"/>
    <col min="10974" max="10974" width="16" style="27" customWidth="1"/>
    <col min="10975" max="10981" width="17.5703125" style="27" customWidth="1"/>
    <col min="10982" max="10982" width="7.85546875" style="27" customWidth="1"/>
    <col min="10983" max="10983" width="14.28515625" style="27" customWidth="1"/>
    <col min="10984" max="10984" width="7.85546875" style="27" customWidth="1"/>
    <col min="10985" max="11229" width="11.42578125" style="27"/>
    <col min="11230" max="11230" width="16" style="27" customWidth="1"/>
    <col min="11231" max="11237" width="17.5703125" style="27" customWidth="1"/>
    <col min="11238" max="11238" width="7.85546875" style="27" customWidth="1"/>
    <col min="11239" max="11239" width="14.28515625" style="27" customWidth="1"/>
    <col min="11240" max="11240" width="7.85546875" style="27" customWidth="1"/>
    <col min="11241" max="11485" width="11.42578125" style="27"/>
    <col min="11486" max="11486" width="16" style="27" customWidth="1"/>
    <col min="11487" max="11493" width="17.5703125" style="27" customWidth="1"/>
    <col min="11494" max="11494" width="7.85546875" style="27" customWidth="1"/>
    <col min="11495" max="11495" width="14.28515625" style="27" customWidth="1"/>
    <col min="11496" max="11496" width="7.85546875" style="27" customWidth="1"/>
    <col min="11497" max="11741" width="11.42578125" style="27"/>
    <col min="11742" max="11742" width="16" style="27" customWidth="1"/>
    <col min="11743" max="11749" width="17.5703125" style="27" customWidth="1"/>
    <col min="11750" max="11750" width="7.85546875" style="27" customWidth="1"/>
    <col min="11751" max="11751" width="14.28515625" style="27" customWidth="1"/>
    <col min="11752" max="11752" width="7.85546875" style="27" customWidth="1"/>
    <col min="11753" max="11997" width="11.42578125" style="27"/>
    <col min="11998" max="11998" width="16" style="27" customWidth="1"/>
    <col min="11999" max="12005" width="17.5703125" style="27" customWidth="1"/>
    <col min="12006" max="12006" width="7.85546875" style="27" customWidth="1"/>
    <col min="12007" max="12007" width="14.28515625" style="27" customWidth="1"/>
    <col min="12008" max="12008" width="7.85546875" style="27" customWidth="1"/>
    <col min="12009" max="12253" width="11.42578125" style="27"/>
    <col min="12254" max="12254" width="16" style="27" customWidth="1"/>
    <col min="12255" max="12261" width="17.5703125" style="27" customWidth="1"/>
    <col min="12262" max="12262" width="7.85546875" style="27" customWidth="1"/>
    <col min="12263" max="12263" width="14.28515625" style="27" customWidth="1"/>
    <col min="12264" max="12264" width="7.85546875" style="27" customWidth="1"/>
    <col min="12265" max="12509" width="11.42578125" style="27"/>
    <col min="12510" max="12510" width="16" style="27" customWidth="1"/>
    <col min="12511" max="12517" width="17.5703125" style="27" customWidth="1"/>
    <col min="12518" max="12518" width="7.85546875" style="27" customWidth="1"/>
    <col min="12519" max="12519" width="14.28515625" style="27" customWidth="1"/>
    <col min="12520" max="12520" width="7.85546875" style="27" customWidth="1"/>
    <col min="12521" max="12765" width="11.42578125" style="27"/>
    <col min="12766" max="12766" width="16" style="27" customWidth="1"/>
    <col min="12767" max="12773" width="17.5703125" style="27" customWidth="1"/>
    <col min="12774" max="12774" width="7.85546875" style="27" customWidth="1"/>
    <col min="12775" max="12775" width="14.28515625" style="27" customWidth="1"/>
    <col min="12776" max="12776" width="7.85546875" style="27" customWidth="1"/>
    <col min="12777" max="13021" width="11.42578125" style="27"/>
    <col min="13022" max="13022" width="16" style="27" customWidth="1"/>
    <col min="13023" max="13029" width="17.5703125" style="27" customWidth="1"/>
    <col min="13030" max="13030" width="7.85546875" style="27" customWidth="1"/>
    <col min="13031" max="13031" width="14.28515625" style="27" customWidth="1"/>
    <col min="13032" max="13032" width="7.85546875" style="27" customWidth="1"/>
    <col min="13033" max="13277" width="11.42578125" style="27"/>
    <col min="13278" max="13278" width="16" style="27" customWidth="1"/>
    <col min="13279" max="13285" width="17.5703125" style="27" customWidth="1"/>
    <col min="13286" max="13286" width="7.85546875" style="27" customWidth="1"/>
    <col min="13287" max="13287" width="14.28515625" style="27" customWidth="1"/>
    <col min="13288" max="13288" width="7.85546875" style="27" customWidth="1"/>
    <col min="13289" max="13533" width="11.42578125" style="27"/>
    <col min="13534" max="13534" width="16" style="27" customWidth="1"/>
    <col min="13535" max="13541" width="17.5703125" style="27" customWidth="1"/>
    <col min="13542" max="13542" width="7.85546875" style="27" customWidth="1"/>
    <col min="13543" max="13543" width="14.28515625" style="27" customWidth="1"/>
    <col min="13544" max="13544" width="7.85546875" style="27" customWidth="1"/>
    <col min="13545" max="13789" width="11.42578125" style="27"/>
    <col min="13790" max="13790" width="16" style="27" customWidth="1"/>
    <col min="13791" max="13797" width="17.5703125" style="27" customWidth="1"/>
    <col min="13798" max="13798" width="7.85546875" style="27" customWidth="1"/>
    <col min="13799" max="13799" width="14.28515625" style="27" customWidth="1"/>
    <col min="13800" max="13800" width="7.85546875" style="27" customWidth="1"/>
    <col min="13801" max="14045" width="11.42578125" style="27"/>
    <col min="14046" max="14046" width="16" style="27" customWidth="1"/>
    <col min="14047" max="14053" width="17.5703125" style="27" customWidth="1"/>
    <col min="14054" max="14054" width="7.85546875" style="27" customWidth="1"/>
    <col min="14055" max="14055" width="14.28515625" style="27" customWidth="1"/>
    <col min="14056" max="14056" width="7.85546875" style="27" customWidth="1"/>
    <col min="14057" max="14301" width="11.42578125" style="27"/>
    <col min="14302" max="14302" width="16" style="27" customWidth="1"/>
    <col min="14303" max="14309" width="17.5703125" style="27" customWidth="1"/>
    <col min="14310" max="14310" width="7.85546875" style="27" customWidth="1"/>
    <col min="14311" max="14311" width="14.28515625" style="27" customWidth="1"/>
    <col min="14312" max="14312" width="7.85546875" style="27" customWidth="1"/>
    <col min="14313" max="14557" width="11.42578125" style="27"/>
    <col min="14558" max="14558" width="16" style="27" customWidth="1"/>
    <col min="14559" max="14565" width="17.5703125" style="27" customWidth="1"/>
    <col min="14566" max="14566" width="7.85546875" style="27" customWidth="1"/>
    <col min="14567" max="14567" width="14.28515625" style="27" customWidth="1"/>
    <col min="14568" max="14568" width="7.85546875" style="27" customWidth="1"/>
    <col min="14569" max="14813" width="11.42578125" style="27"/>
    <col min="14814" max="14814" width="16" style="27" customWidth="1"/>
    <col min="14815" max="14821" width="17.5703125" style="27" customWidth="1"/>
    <col min="14822" max="14822" width="7.85546875" style="27" customWidth="1"/>
    <col min="14823" max="14823" width="14.28515625" style="27" customWidth="1"/>
    <col min="14824" max="14824" width="7.85546875" style="27" customWidth="1"/>
    <col min="14825" max="15069" width="11.42578125" style="27"/>
    <col min="15070" max="15070" width="16" style="27" customWidth="1"/>
    <col min="15071" max="15077" width="17.5703125" style="27" customWidth="1"/>
    <col min="15078" max="15078" width="7.85546875" style="27" customWidth="1"/>
    <col min="15079" max="15079" width="14.28515625" style="27" customWidth="1"/>
    <col min="15080" max="15080" width="7.85546875" style="27" customWidth="1"/>
    <col min="15081" max="15325" width="11.42578125" style="27"/>
    <col min="15326" max="15326" width="16" style="27" customWidth="1"/>
    <col min="15327" max="15333" width="17.5703125" style="27" customWidth="1"/>
    <col min="15334" max="15334" width="7.85546875" style="27" customWidth="1"/>
    <col min="15335" max="15335" width="14.28515625" style="27" customWidth="1"/>
    <col min="15336" max="15336" width="7.85546875" style="27" customWidth="1"/>
    <col min="15337" max="15581" width="11.42578125" style="27"/>
    <col min="15582" max="15582" width="16" style="27" customWidth="1"/>
    <col min="15583" max="15589" width="17.5703125" style="27" customWidth="1"/>
    <col min="15590" max="15590" width="7.85546875" style="27" customWidth="1"/>
    <col min="15591" max="15591" width="14.28515625" style="27" customWidth="1"/>
    <col min="15592" max="15592" width="7.85546875" style="27" customWidth="1"/>
    <col min="15593" max="15837" width="11.42578125" style="27"/>
    <col min="15838" max="15838" width="16" style="27" customWidth="1"/>
    <col min="15839" max="15845" width="17.5703125" style="27" customWidth="1"/>
    <col min="15846" max="15846" width="7.85546875" style="27" customWidth="1"/>
    <col min="15847" max="15847" width="14.28515625" style="27" customWidth="1"/>
    <col min="15848" max="15848" width="7.85546875" style="27" customWidth="1"/>
    <col min="15849" max="16093" width="11.42578125" style="27"/>
    <col min="16094" max="16094" width="16" style="27" customWidth="1"/>
    <col min="16095" max="16101" width="17.5703125" style="27" customWidth="1"/>
    <col min="16102" max="16102" width="7.85546875" style="27" customWidth="1"/>
    <col min="16103" max="16103" width="14.28515625" style="27" customWidth="1"/>
    <col min="16104" max="16104" width="7.85546875" style="27" customWidth="1"/>
    <col min="16105" max="16384" width="11.42578125" style="27"/>
  </cols>
  <sheetData>
    <row r="1" spans="1:7" x14ac:dyDescent="0.2">
      <c r="A1" s="4" t="s">
        <v>92</v>
      </c>
      <c r="B1" s="4"/>
      <c r="C1" s="4"/>
      <c r="D1" s="4"/>
      <c r="E1" s="188"/>
    </row>
    <row r="2" spans="1:7" ht="12.75" x14ac:dyDescent="0.2">
      <c r="A2" s="254" t="s">
        <v>226</v>
      </c>
      <c r="B2" s="255"/>
      <c r="C2" s="255"/>
      <c r="D2" s="255"/>
      <c r="E2" s="255"/>
    </row>
    <row r="3" spans="1:7" ht="12.75" x14ac:dyDescent="0.2">
      <c r="A3" s="256" t="s">
        <v>224</v>
      </c>
      <c r="B3" s="256"/>
      <c r="C3" s="256"/>
      <c r="D3" s="256"/>
      <c r="E3" s="26"/>
    </row>
    <row r="4" spans="1:7" ht="12.75" x14ac:dyDescent="0.2">
      <c r="A4" s="254" t="s">
        <v>225</v>
      </c>
      <c r="B4" s="255"/>
      <c r="C4" s="255"/>
      <c r="D4" s="255"/>
      <c r="E4" s="255"/>
    </row>
    <row r="6" spans="1:7" ht="12.75" customHeight="1" x14ac:dyDescent="0.2">
      <c r="A6" s="248" t="s">
        <v>106</v>
      </c>
      <c r="B6" s="248"/>
      <c r="C6" s="248"/>
      <c r="D6" s="248"/>
      <c r="E6" s="248"/>
    </row>
    <row r="7" spans="1:7" ht="12.75" customHeight="1" x14ac:dyDescent="0.2">
      <c r="A7" s="248" t="str">
        <f>'OPĆI DIO'!A7:I7</f>
        <v>ZA RAZDOBLJE 01.01.-31.12.2023.</v>
      </c>
      <c r="B7" s="248"/>
      <c r="C7" s="248"/>
      <c r="D7" s="248"/>
      <c r="E7" s="248"/>
    </row>
    <row r="9" spans="1:7" s="92" customFormat="1" x14ac:dyDescent="0.2">
      <c r="A9" s="273" t="s">
        <v>177</v>
      </c>
      <c r="B9" s="273"/>
      <c r="C9" s="273"/>
      <c r="D9" s="273"/>
      <c r="E9" s="273"/>
    </row>
    <row r="10" spans="1:7" s="4" customFormat="1" x14ac:dyDescent="0.2">
      <c r="C10" s="121"/>
      <c r="D10" s="121"/>
      <c r="E10" s="190"/>
    </row>
    <row r="11" spans="1:7" s="4" customFormat="1" ht="57.6" customHeight="1" x14ac:dyDescent="0.2">
      <c r="A11" s="167" t="s">
        <v>178</v>
      </c>
      <c r="B11" s="167" t="s">
        <v>179</v>
      </c>
      <c r="C11" s="168" t="s">
        <v>238</v>
      </c>
      <c r="D11" s="168" t="s">
        <v>239</v>
      </c>
      <c r="E11" s="211" t="s">
        <v>107</v>
      </c>
    </row>
    <row r="12" spans="1:7" s="123" customFormat="1" ht="11.25" customHeight="1" x14ac:dyDescent="0.15">
      <c r="A12" s="271">
        <v>1</v>
      </c>
      <c r="B12" s="272"/>
      <c r="C12" s="124">
        <v>2</v>
      </c>
      <c r="D12" s="124">
        <v>3</v>
      </c>
      <c r="E12" s="192" t="s">
        <v>220</v>
      </c>
    </row>
    <row r="13" spans="1:7" s="77" customFormat="1" ht="12.75" customHeight="1" x14ac:dyDescent="0.2">
      <c r="A13" s="152" t="s">
        <v>213</v>
      </c>
      <c r="B13" s="153" t="s">
        <v>159</v>
      </c>
      <c r="C13" s="154"/>
      <c r="D13" s="154"/>
      <c r="E13" s="212"/>
    </row>
    <row r="14" spans="1:7" s="77" customFormat="1" ht="12.75" customHeight="1" x14ac:dyDescent="0.2">
      <c r="A14" s="75"/>
      <c r="B14" s="76" t="s">
        <v>157</v>
      </c>
      <c r="C14" s="128">
        <f>'prihodi programska'!D13</f>
        <v>136040.9</v>
      </c>
      <c r="D14" s="128">
        <f>'prihodi programska'!F13</f>
        <v>132084.4</v>
      </c>
      <c r="E14" s="194">
        <f>ROUND(D14/C14*100,2)</f>
        <v>97.09</v>
      </c>
    </row>
    <row r="15" spans="1:7" s="77" customFormat="1" ht="12.75" customHeight="1" x14ac:dyDescent="0.2">
      <c r="A15" s="75"/>
      <c r="B15" s="76" t="s">
        <v>158</v>
      </c>
      <c r="C15" s="128">
        <f>'rashodi-programska'!D17</f>
        <v>136040.9</v>
      </c>
      <c r="D15" s="128">
        <f>'rashodi-programska'!F17</f>
        <v>132084.4</v>
      </c>
      <c r="E15" s="194">
        <f t="shared" ref="E15:E42" si="0">ROUND(D15/C15*100,2)</f>
        <v>97.09</v>
      </c>
      <c r="G15" s="160"/>
    </row>
    <row r="16" spans="1:7" s="80" customFormat="1" ht="12.75" customHeight="1" x14ac:dyDescent="0.2">
      <c r="A16" s="152" t="s">
        <v>214</v>
      </c>
      <c r="B16" s="153" t="s">
        <v>160</v>
      </c>
      <c r="C16" s="154"/>
      <c r="D16" s="154"/>
      <c r="E16" s="212"/>
    </row>
    <row r="17" spans="1:8" s="77" customFormat="1" ht="12.75" customHeight="1" x14ac:dyDescent="0.2">
      <c r="A17" s="75"/>
      <c r="B17" s="76" t="s">
        <v>157</v>
      </c>
      <c r="C17" s="128">
        <f>'prihodi programska'!D17</f>
        <v>26177.1</v>
      </c>
      <c r="D17" s="128">
        <f>'prihodi programska'!F17</f>
        <v>18513.900000000001</v>
      </c>
      <c r="E17" s="194">
        <f t="shared" si="0"/>
        <v>70.73</v>
      </c>
    </row>
    <row r="18" spans="1:8" s="80" customFormat="1" ht="12.75" customHeight="1" x14ac:dyDescent="0.2">
      <c r="A18" s="78"/>
      <c r="B18" s="76" t="s">
        <v>158</v>
      </c>
      <c r="C18" s="128">
        <f>'rashodi-programska'!D60</f>
        <v>26177.1</v>
      </c>
      <c r="D18" s="128">
        <f>'rashodi-programska'!F60</f>
        <v>13053.25</v>
      </c>
      <c r="E18" s="194">
        <f t="shared" si="0"/>
        <v>49.87</v>
      </c>
    </row>
    <row r="19" spans="1:8" s="77" customFormat="1" ht="12.75" customHeight="1" x14ac:dyDescent="0.2">
      <c r="A19" s="81"/>
      <c r="B19" s="82" t="s">
        <v>180</v>
      </c>
      <c r="C19" s="128">
        <f>'prihodi programska'!D65</f>
        <v>0</v>
      </c>
      <c r="D19" s="128">
        <f>'prihodi programska'!E65</f>
        <v>0</v>
      </c>
      <c r="E19" s="194" t="e">
        <f t="shared" si="0"/>
        <v>#DIV/0!</v>
      </c>
      <c r="G19" s="160"/>
      <c r="H19" s="160"/>
    </row>
    <row r="20" spans="1:8" s="80" customFormat="1" ht="12.75" customHeight="1" x14ac:dyDescent="0.2">
      <c r="A20" s="152" t="s">
        <v>215</v>
      </c>
      <c r="B20" s="153" t="s">
        <v>181</v>
      </c>
      <c r="C20" s="154"/>
      <c r="D20" s="154"/>
      <c r="E20" s="212"/>
    </row>
    <row r="21" spans="1:8" s="77" customFormat="1" ht="12.75" customHeight="1" x14ac:dyDescent="0.2">
      <c r="A21" s="75"/>
      <c r="B21" s="76" t="s">
        <v>157</v>
      </c>
      <c r="C21" s="128">
        <f>'prihodi programska'!D24</f>
        <v>3500</v>
      </c>
      <c r="D21" s="128">
        <f>'prihodi programska'!F24</f>
        <v>4130.4399999999996</v>
      </c>
      <c r="E21" s="194">
        <f t="shared" si="0"/>
        <v>118.01</v>
      </c>
    </row>
    <row r="22" spans="1:8" s="77" customFormat="1" ht="12.75" customHeight="1" x14ac:dyDescent="0.2">
      <c r="A22" s="78"/>
      <c r="B22" s="76" t="s">
        <v>158</v>
      </c>
      <c r="C22" s="128">
        <f>'rashodi-programska'!D98</f>
        <v>7914.32</v>
      </c>
      <c r="D22" s="128">
        <f>'rashodi-programska'!F98</f>
        <v>7575.22</v>
      </c>
      <c r="E22" s="194">
        <f t="shared" si="0"/>
        <v>95.72</v>
      </c>
      <c r="H22" s="160"/>
    </row>
    <row r="23" spans="1:8" s="86" customFormat="1" ht="12.75" customHeight="1" x14ac:dyDescent="0.2">
      <c r="A23" s="81"/>
      <c r="B23" s="82" t="s">
        <v>180</v>
      </c>
      <c r="C23" s="128">
        <f>'prihodi programska'!D68</f>
        <v>0</v>
      </c>
      <c r="D23" s="128">
        <f>'prihodi programska'!E68</f>
        <v>0</v>
      </c>
      <c r="E23" s="194" t="e">
        <f t="shared" si="0"/>
        <v>#DIV/0!</v>
      </c>
      <c r="G23" s="169"/>
    </row>
    <row r="24" spans="1:8" ht="12.75" customHeight="1" x14ac:dyDescent="0.2">
      <c r="A24" s="152" t="s">
        <v>216</v>
      </c>
      <c r="B24" s="153" t="s">
        <v>161</v>
      </c>
      <c r="C24" s="154"/>
      <c r="D24" s="154"/>
      <c r="E24" s="212"/>
    </row>
    <row r="25" spans="1:8" ht="12.75" customHeight="1" x14ac:dyDescent="0.2">
      <c r="A25" s="75"/>
      <c r="B25" s="76" t="s">
        <v>157</v>
      </c>
      <c r="C25" s="128">
        <f>'prihodi programska'!D29</f>
        <v>1643891.24</v>
      </c>
      <c r="D25" s="128">
        <f>'prihodi programska'!F29</f>
        <v>1222795.72</v>
      </c>
      <c r="E25" s="194">
        <f t="shared" si="0"/>
        <v>74.38</v>
      </c>
    </row>
    <row r="26" spans="1:8" ht="12.75" customHeight="1" x14ac:dyDescent="0.2">
      <c r="A26" s="78"/>
      <c r="B26" s="76" t="s">
        <v>158</v>
      </c>
      <c r="C26" s="128">
        <f>'rashodi-programska'!D118</f>
        <v>1617891.2400000002</v>
      </c>
      <c r="D26" s="128">
        <f>'rashodi-programska'!F118</f>
        <v>1218360.92</v>
      </c>
      <c r="E26" s="194">
        <f t="shared" si="0"/>
        <v>75.31</v>
      </c>
    </row>
    <row r="27" spans="1:8" ht="12.75" customHeight="1" x14ac:dyDescent="0.2">
      <c r="A27" s="81"/>
      <c r="B27" s="82" t="s">
        <v>180</v>
      </c>
      <c r="C27" s="128">
        <f>'prihodi programska'!D69</f>
        <v>0</v>
      </c>
      <c r="D27" s="128">
        <f>'prihodi programska'!E69</f>
        <v>0</v>
      </c>
      <c r="E27" s="194" t="e">
        <f t="shared" si="0"/>
        <v>#DIV/0!</v>
      </c>
      <c r="G27" s="161"/>
    </row>
    <row r="28" spans="1:8" ht="12.75" customHeight="1" x14ac:dyDescent="0.2">
      <c r="A28" s="152" t="s">
        <v>217</v>
      </c>
      <c r="B28" s="153" t="s">
        <v>162</v>
      </c>
      <c r="C28" s="154"/>
      <c r="D28" s="154"/>
      <c r="E28" s="212"/>
    </row>
    <row r="29" spans="1:8" ht="12.75" customHeight="1" x14ac:dyDescent="0.2">
      <c r="A29" s="75"/>
      <c r="B29" s="76" t="s">
        <v>157</v>
      </c>
      <c r="C29" s="128">
        <f>'prihodi programska'!D44</f>
        <v>1269.69</v>
      </c>
      <c r="D29" s="128">
        <f>'prihodi programska'!F44</f>
        <v>276.14</v>
      </c>
      <c r="E29" s="194">
        <f t="shared" si="0"/>
        <v>21.75</v>
      </c>
    </row>
    <row r="30" spans="1:8" ht="12.75" customHeight="1" x14ac:dyDescent="0.2">
      <c r="A30" s="78"/>
      <c r="B30" s="76" t="s">
        <v>158</v>
      </c>
      <c r="C30" s="128">
        <f>'rashodi-programska'!D165</f>
        <v>1269.69</v>
      </c>
      <c r="D30" s="128">
        <f>'rashodi-programska'!F165</f>
        <v>596.26</v>
      </c>
      <c r="E30" s="194">
        <f t="shared" si="0"/>
        <v>46.96</v>
      </c>
    </row>
    <row r="31" spans="1:8" ht="12.75" customHeight="1" x14ac:dyDescent="0.2">
      <c r="A31" s="81"/>
      <c r="B31" s="82" t="s">
        <v>180</v>
      </c>
      <c r="C31" s="128">
        <f>'prihodi programska'!D72</f>
        <v>0</v>
      </c>
      <c r="D31" s="128">
        <f>'prihodi programska'!E72</f>
        <v>0</v>
      </c>
      <c r="E31" s="194" t="e">
        <f t="shared" si="0"/>
        <v>#DIV/0!</v>
      </c>
      <c r="G31" s="161"/>
    </row>
    <row r="32" spans="1:8" ht="12.75" customHeight="1" x14ac:dyDescent="0.2">
      <c r="A32" s="152" t="s">
        <v>218</v>
      </c>
      <c r="B32" s="153" t="s">
        <v>96</v>
      </c>
      <c r="C32" s="154"/>
      <c r="D32" s="154"/>
      <c r="E32" s="212"/>
    </row>
    <row r="33" spans="1:8" ht="12.75" customHeight="1" x14ac:dyDescent="0.2">
      <c r="A33" s="75"/>
      <c r="B33" s="76" t="s">
        <v>157</v>
      </c>
      <c r="C33" s="128">
        <f>'prihodi programska'!D50</f>
        <v>9863.130000000001</v>
      </c>
      <c r="D33" s="128">
        <f>'prihodi programska'!F50</f>
        <v>7686.35</v>
      </c>
      <c r="E33" s="194">
        <f t="shared" si="0"/>
        <v>77.930000000000007</v>
      </c>
    </row>
    <row r="34" spans="1:8" ht="12.75" customHeight="1" x14ac:dyDescent="0.2">
      <c r="A34" s="78"/>
      <c r="B34" s="76" t="s">
        <v>158</v>
      </c>
      <c r="C34" s="128">
        <f>'rashodi-programska'!D185</f>
        <v>9863.130000000001</v>
      </c>
      <c r="D34" s="128">
        <f>'rashodi-programska'!F185</f>
        <v>0</v>
      </c>
      <c r="E34" s="194">
        <f t="shared" si="0"/>
        <v>0</v>
      </c>
    </row>
    <row r="35" spans="1:8" ht="12.75" customHeight="1" x14ac:dyDescent="0.2">
      <c r="A35" s="81"/>
      <c r="B35" s="82" t="s">
        <v>180</v>
      </c>
      <c r="C35" s="128">
        <f>'prihodi programska'!D75</f>
        <v>0</v>
      </c>
      <c r="D35" s="128">
        <f>'prihodi programska'!E75</f>
        <v>0</v>
      </c>
      <c r="E35" s="194" t="e">
        <f t="shared" si="0"/>
        <v>#DIV/0!</v>
      </c>
    </row>
    <row r="36" spans="1:8" ht="12.75" customHeight="1" x14ac:dyDescent="0.2">
      <c r="A36" s="152" t="s">
        <v>219</v>
      </c>
      <c r="B36" s="153" t="s">
        <v>161</v>
      </c>
      <c r="C36" s="154"/>
      <c r="D36" s="154"/>
      <c r="E36" s="212"/>
      <c r="H36" s="161"/>
    </row>
    <row r="37" spans="1:8" ht="12.75" customHeight="1" x14ac:dyDescent="0.2">
      <c r="A37" s="75"/>
      <c r="B37" s="76" t="s">
        <v>157</v>
      </c>
      <c r="C37" s="128">
        <f>'prihodi programska'!D56</f>
        <v>13598.65</v>
      </c>
      <c r="D37" s="128">
        <f>'prihodi programska'!F56</f>
        <v>10944.79</v>
      </c>
      <c r="E37" s="194">
        <f t="shared" si="0"/>
        <v>80.48</v>
      </c>
    </row>
    <row r="38" spans="1:8" ht="12.75" customHeight="1" x14ac:dyDescent="0.2">
      <c r="A38" s="78"/>
      <c r="B38" s="76" t="s">
        <v>158</v>
      </c>
      <c r="C38" s="128">
        <f>'rashodi-programska'!D210</f>
        <v>24917.690000000002</v>
      </c>
      <c r="D38" s="128">
        <f>'rashodi-programska'!F210</f>
        <v>10944.789999999999</v>
      </c>
      <c r="E38" s="194">
        <f t="shared" si="0"/>
        <v>43.92</v>
      </c>
    </row>
    <row r="39" spans="1:8" ht="12.75" customHeight="1" x14ac:dyDescent="0.2">
      <c r="A39" s="81"/>
      <c r="B39" s="82" t="s">
        <v>180</v>
      </c>
      <c r="C39" s="128">
        <v>0</v>
      </c>
      <c r="D39" s="128">
        <v>0</v>
      </c>
      <c r="E39" s="194" t="e">
        <f t="shared" si="0"/>
        <v>#DIV/0!</v>
      </c>
    </row>
    <row r="40" spans="1:8" s="92" customFormat="1" ht="12.75" customHeight="1" x14ac:dyDescent="0.2">
      <c r="A40" s="155"/>
      <c r="B40" s="157" t="s">
        <v>182</v>
      </c>
      <c r="C40" s="156">
        <f t="shared" ref="C40:D41" si="1">C14+C17+C21+C25+C29+C33+C37</f>
        <v>1834340.7099999997</v>
      </c>
      <c r="D40" s="156">
        <f t="shared" si="1"/>
        <v>1396431.74</v>
      </c>
      <c r="E40" s="213">
        <f t="shared" si="0"/>
        <v>76.13</v>
      </c>
    </row>
    <row r="41" spans="1:8" s="92" customFormat="1" ht="12.75" customHeight="1" x14ac:dyDescent="0.2">
      <c r="A41" s="155"/>
      <c r="B41" s="157" t="s">
        <v>183</v>
      </c>
      <c r="C41" s="156">
        <f t="shared" si="1"/>
        <v>1824074.07</v>
      </c>
      <c r="D41" s="156">
        <f t="shared" si="1"/>
        <v>1382614.84</v>
      </c>
      <c r="E41" s="213">
        <f t="shared" si="0"/>
        <v>75.8</v>
      </c>
    </row>
    <row r="42" spans="1:8" s="92" customFormat="1" ht="12.75" customHeight="1" x14ac:dyDescent="0.2">
      <c r="A42" s="158"/>
      <c r="B42" s="159" t="s">
        <v>184</v>
      </c>
      <c r="C42" s="156">
        <f>C39+C35+C31+C27+C23+C19</f>
        <v>0</v>
      </c>
      <c r="D42" s="156">
        <f>D39+D35+D31+D27+D23+D19</f>
        <v>0</v>
      </c>
      <c r="E42" s="213" t="e">
        <f t="shared" si="0"/>
        <v>#DIV/0!</v>
      </c>
    </row>
    <row r="43" spans="1:8" ht="21.75" customHeight="1" x14ac:dyDescent="0.2"/>
    <row r="44" spans="1:8" ht="21.75" customHeight="1" x14ac:dyDescent="0.2">
      <c r="E44" s="122"/>
    </row>
    <row r="45" spans="1:8" ht="21.75" customHeight="1" x14ac:dyDescent="0.2"/>
    <row r="46" spans="1:8" ht="21.75" customHeight="1" x14ac:dyDescent="0.2"/>
  </sheetData>
  <mergeCells count="7">
    <mergeCell ref="A12:B12"/>
    <mergeCell ref="A9:E9"/>
    <mergeCell ref="A2:E2"/>
    <mergeCell ref="A3:D3"/>
    <mergeCell ref="A4:E4"/>
    <mergeCell ref="A6:E6"/>
    <mergeCell ref="A7:E7"/>
  </mergeCells>
  <pageMargins left="0.59055118110236227" right="0" top="0.74803149606299213" bottom="0.74803149606299213" header="0.31496062992125984" footer="0.31496062992125984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2"/>
  <sheetViews>
    <sheetView topLeftCell="A4" zoomScaleNormal="100" workbookViewId="0">
      <selection activeCell="C7" sqref="C7"/>
    </sheetView>
  </sheetViews>
  <sheetFormatPr defaultColWidth="9.140625" defaultRowHeight="12.75" x14ac:dyDescent="0.2"/>
  <cols>
    <col min="1" max="1" width="6.140625" customWidth="1"/>
    <col min="2" max="2" width="40.28515625" customWidth="1"/>
    <col min="3" max="6" width="14.140625" customWidth="1"/>
    <col min="7" max="7" width="14.140625" style="214" customWidth="1"/>
    <col min="9" max="9" width="10.140625" bestFit="1" customWidth="1"/>
    <col min="10" max="10" width="9.7109375" bestFit="1" customWidth="1"/>
  </cols>
  <sheetData>
    <row r="1" spans="1:10" ht="12.75" customHeight="1" x14ac:dyDescent="0.2">
      <c r="A1" s="248" t="s">
        <v>106</v>
      </c>
      <c r="B1" s="248"/>
      <c r="C1" s="248"/>
      <c r="D1" s="248"/>
      <c r="E1" s="248"/>
      <c r="F1" s="248"/>
      <c r="G1" s="248"/>
    </row>
    <row r="2" spans="1:10" ht="15.6" customHeight="1" x14ac:dyDescent="0.2">
      <c r="A2" s="248" t="str">
        <f>'OPĆI DIO'!A7:I7</f>
        <v>ZA RAZDOBLJE 01.01.-31.12.2023.</v>
      </c>
      <c r="B2" s="248"/>
      <c r="C2" s="248"/>
      <c r="D2" s="248"/>
      <c r="E2" s="248"/>
      <c r="F2" s="248"/>
      <c r="G2" s="248"/>
    </row>
    <row r="3" spans="1:10" ht="15.6" customHeight="1" x14ac:dyDescent="0.2">
      <c r="A3" s="174"/>
      <c r="B3" s="174"/>
      <c r="C3" s="174"/>
      <c r="D3" s="174"/>
      <c r="E3" s="174"/>
      <c r="F3" s="174"/>
      <c r="G3" s="174"/>
    </row>
    <row r="4" spans="1:10" ht="13.35" customHeight="1" x14ac:dyDescent="0.2">
      <c r="A4" s="248" t="s">
        <v>222</v>
      </c>
      <c r="B4" s="248"/>
      <c r="C4" s="248"/>
      <c r="D4" s="248"/>
      <c r="E4" s="248"/>
      <c r="F4" s="248"/>
      <c r="G4" s="248"/>
    </row>
    <row r="5" spans="1:10" s="6" customFormat="1" ht="13.35" customHeight="1" x14ac:dyDescent="0.2">
      <c r="A5" s="282" t="s">
        <v>167</v>
      </c>
      <c r="B5" s="282"/>
      <c r="C5" s="282"/>
      <c r="D5" s="282"/>
      <c r="E5" s="282"/>
      <c r="F5" s="282"/>
      <c r="G5" s="282"/>
    </row>
    <row r="6" spans="1:10" s="6" customFormat="1" ht="13.35" customHeight="1" x14ac:dyDescent="0.2">
      <c r="A6" s="282" t="s">
        <v>187</v>
      </c>
      <c r="B6" s="282"/>
      <c r="C6" s="282"/>
      <c r="D6" s="282"/>
      <c r="E6" s="282"/>
      <c r="F6" s="282"/>
      <c r="G6" s="282"/>
    </row>
    <row r="7" spans="1:10" ht="13.35" customHeight="1" x14ac:dyDescent="0.2">
      <c r="C7" s="5"/>
    </row>
    <row r="8" spans="1:10" ht="7.15" customHeight="1" x14ac:dyDescent="0.2"/>
    <row r="9" spans="1:10" s="1" customFormat="1" ht="39" customHeight="1" x14ac:dyDescent="0.2">
      <c r="A9" s="57" t="s">
        <v>207</v>
      </c>
      <c r="B9" s="58" t="s">
        <v>163</v>
      </c>
      <c r="C9" s="57" t="s">
        <v>247</v>
      </c>
      <c r="D9" s="57" t="s">
        <v>250</v>
      </c>
      <c r="E9" s="57" t="s">
        <v>249</v>
      </c>
      <c r="F9" s="57" t="s">
        <v>252</v>
      </c>
      <c r="G9" s="215" t="s">
        <v>90</v>
      </c>
    </row>
    <row r="10" spans="1:10" s="30" customFormat="1" ht="9" customHeight="1" x14ac:dyDescent="0.2">
      <c r="A10" s="283">
        <v>1</v>
      </c>
      <c r="B10" s="284"/>
      <c r="C10" s="59">
        <v>2</v>
      </c>
      <c r="D10" s="59">
        <v>3</v>
      </c>
      <c r="E10" s="59"/>
      <c r="F10" s="59"/>
      <c r="G10" s="216" t="s">
        <v>221</v>
      </c>
    </row>
    <row r="11" spans="1:10" ht="13.5" customHeight="1" x14ac:dyDescent="0.2">
      <c r="A11" s="278" t="s">
        <v>59</v>
      </c>
      <c r="B11" s="279"/>
      <c r="C11" s="60">
        <f t="shared" ref="C11:E14" si="0">C12</f>
        <v>1380952.2025350053</v>
      </c>
      <c r="D11" s="60">
        <f>D12+13598.65</f>
        <v>1850074.0699999998</v>
      </c>
      <c r="E11" s="60">
        <f>E12</f>
        <v>1815038.49</v>
      </c>
      <c r="F11" s="60">
        <f>F12+13598.65</f>
        <v>1396213.4899999998</v>
      </c>
      <c r="G11" s="60">
        <f t="shared" ref="G11:G19" si="1">D11/C11*100</f>
        <v>133.97089823991232</v>
      </c>
    </row>
    <row r="12" spans="1:10" ht="13.5" customHeight="1" x14ac:dyDescent="0.2">
      <c r="A12" s="280" t="s">
        <v>60</v>
      </c>
      <c r="B12" s="281"/>
      <c r="C12" s="11">
        <f t="shared" si="0"/>
        <v>1380952.2025350053</v>
      </c>
      <c r="D12" s="11">
        <f>D13</f>
        <v>1836475.42</v>
      </c>
      <c r="E12" s="11">
        <f t="shared" si="0"/>
        <v>1815038.49</v>
      </c>
      <c r="F12" s="11">
        <f>F13</f>
        <v>1382614.8399999999</v>
      </c>
      <c r="G12" s="11">
        <f t="shared" si="1"/>
        <v>132.98616828510021</v>
      </c>
      <c r="J12" s="214">
        <f>D11-70119.18</f>
        <v>1779954.89</v>
      </c>
    </row>
    <row r="13" spans="1:10" ht="13.5" customHeight="1" x14ac:dyDescent="0.2">
      <c r="A13" s="287" t="s">
        <v>227</v>
      </c>
      <c r="B13" s="288"/>
      <c r="C13" s="12">
        <f t="shared" si="0"/>
        <v>1380952.2025350053</v>
      </c>
      <c r="D13" s="12">
        <f t="shared" si="0"/>
        <v>1836475.42</v>
      </c>
      <c r="E13" s="12">
        <f>E14</f>
        <v>1815038.49</v>
      </c>
      <c r="F13" s="12">
        <f>F14</f>
        <v>1382614.8399999999</v>
      </c>
      <c r="G13" s="12">
        <f t="shared" si="1"/>
        <v>132.98616828510021</v>
      </c>
    </row>
    <row r="14" spans="1:10" ht="13.5" customHeight="1" x14ac:dyDescent="0.2">
      <c r="A14" s="289" t="s">
        <v>61</v>
      </c>
      <c r="B14" s="290"/>
      <c r="C14" s="13">
        <f t="shared" si="0"/>
        <v>1380952.2025350053</v>
      </c>
      <c r="D14" s="13">
        <f>D15</f>
        <v>1836475.42</v>
      </c>
      <c r="E14" s="13">
        <f>E15</f>
        <v>1815038.49</v>
      </c>
      <c r="F14" s="13">
        <f>F15</f>
        <v>1382614.8399999999</v>
      </c>
      <c r="G14" s="13">
        <f t="shared" si="1"/>
        <v>132.98616828510021</v>
      </c>
    </row>
    <row r="15" spans="1:10" ht="13.5" customHeight="1" x14ac:dyDescent="0.2">
      <c r="A15" s="291" t="s">
        <v>62</v>
      </c>
      <c r="B15" s="292"/>
      <c r="C15" s="14">
        <f>C16+C59+C196+C209</f>
        <v>1380952.2025350053</v>
      </c>
      <c r="D15" s="14">
        <f>D16+D59+D196+D209-13598.65</f>
        <v>1836475.42</v>
      </c>
      <c r="E15" s="14">
        <f>E16+E59+E196+E209</f>
        <v>1815038.49</v>
      </c>
      <c r="F15" s="14">
        <f>F16+F59+F196+F209</f>
        <v>1382614.8399999999</v>
      </c>
      <c r="G15" s="14">
        <f t="shared" si="1"/>
        <v>132.98616828510021</v>
      </c>
    </row>
    <row r="16" spans="1:10" ht="25.5" customHeight="1" x14ac:dyDescent="0.2">
      <c r="A16" s="295" t="s">
        <v>91</v>
      </c>
      <c r="B16" s="296"/>
      <c r="C16" s="55">
        <f>C17</f>
        <v>140809.20963567588</v>
      </c>
      <c r="D16" s="55">
        <f>D17</f>
        <v>136040.9</v>
      </c>
      <c r="E16" s="55">
        <f>E17</f>
        <v>136034.26</v>
      </c>
      <c r="F16" s="55">
        <f>F17</f>
        <v>132084.4</v>
      </c>
      <c r="G16" s="55">
        <f t="shared" si="1"/>
        <v>96.613637951655846</v>
      </c>
    </row>
    <row r="17" spans="1:7" ht="13.5" customHeight="1" x14ac:dyDescent="0.2">
      <c r="A17" s="293" t="s">
        <v>189</v>
      </c>
      <c r="B17" s="294"/>
      <c r="C17" s="15">
        <f>C18+C19+C21+C52+C56</f>
        <v>140809.20963567588</v>
      </c>
      <c r="D17" s="15">
        <f>D18+D21+D52+D56</f>
        <v>136040.9</v>
      </c>
      <c r="E17" s="15">
        <f>E18+E21+E52+E56</f>
        <v>136034.26</v>
      </c>
      <c r="F17" s="15">
        <f>F18+F21+F52+F56</f>
        <v>132084.4</v>
      </c>
      <c r="G17" s="15">
        <f t="shared" si="1"/>
        <v>96.613637951655846</v>
      </c>
    </row>
    <row r="18" spans="1:7" s="6" customFormat="1" ht="13.5" customHeight="1" x14ac:dyDescent="0.2">
      <c r="A18" s="42">
        <v>31</v>
      </c>
      <c r="B18" s="62" t="s">
        <v>64</v>
      </c>
      <c r="C18" s="33"/>
      <c r="D18" s="33">
        <f t="shared" ref="D18:F19" si="2">D19</f>
        <v>531.20000000000005</v>
      </c>
      <c r="E18" s="33">
        <f t="shared" si="2"/>
        <v>531.20000000000005</v>
      </c>
      <c r="F18" s="33">
        <f t="shared" si="2"/>
        <v>530.9</v>
      </c>
      <c r="G18" s="33" t="e">
        <f>F18/C18*100</f>
        <v>#DIV/0!</v>
      </c>
    </row>
    <row r="19" spans="1:7" s="6" customFormat="1" ht="13.5" customHeight="1" x14ac:dyDescent="0.2">
      <c r="A19" s="42">
        <v>312</v>
      </c>
      <c r="B19" s="62" t="s">
        <v>74</v>
      </c>
      <c r="C19" s="33">
        <f>4000/7.5345</f>
        <v>530.89123365850423</v>
      </c>
      <c r="D19" s="33">
        <f t="shared" si="2"/>
        <v>531.20000000000005</v>
      </c>
      <c r="E19" s="33">
        <f t="shared" si="2"/>
        <v>531.20000000000005</v>
      </c>
      <c r="F19" s="33">
        <f t="shared" si="2"/>
        <v>530.9</v>
      </c>
      <c r="G19" s="33">
        <f t="shared" si="1"/>
        <v>100.05816</v>
      </c>
    </row>
    <row r="20" spans="1:7" s="5" customFormat="1" ht="13.5" customHeight="1" x14ac:dyDescent="0.2">
      <c r="A20" s="7">
        <v>3121</v>
      </c>
      <c r="B20" s="64" t="s">
        <v>74</v>
      </c>
      <c r="C20" s="16">
        <v>530.89</v>
      </c>
      <c r="D20" s="16">
        <v>531.20000000000005</v>
      </c>
      <c r="E20" s="16">
        <v>531.20000000000005</v>
      </c>
      <c r="F20" s="16">
        <v>530.9</v>
      </c>
      <c r="G20" s="16"/>
    </row>
    <row r="21" spans="1:7" s="2" customFormat="1" ht="13.5" customHeight="1" x14ac:dyDescent="0.2">
      <c r="A21" s="32">
        <v>32</v>
      </c>
      <c r="B21" s="62" t="s">
        <v>57</v>
      </c>
      <c r="C21" s="48">
        <f>C22+C27+C34+C44+C46</f>
        <v>140277.05620810937</v>
      </c>
      <c r="D21" s="33">
        <f>D22+D27+D34+D44+D46</f>
        <v>135503.05999999997</v>
      </c>
      <c r="E21" s="33">
        <f>E22+E27+E34+E44+E46</f>
        <v>135503.06</v>
      </c>
      <c r="F21" s="33">
        <f>F22+F27+F34+F44+F46</f>
        <v>131553.5</v>
      </c>
      <c r="G21" s="33">
        <f>D21/C21*100</f>
        <v>96.596737672462353</v>
      </c>
    </row>
    <row r="22" spans="1:7" s="2" customFormat="1" ht="13.5" customHeight="1" x14ac:dyDescent="0.2">
      <c r="A22" s="32">
        <v>321</v>
      </c>
      <c r="B22" s="61" t="s">
        <v>113</v>
      </c>
      <c r="C22" s="34">
        <f>SUM(C23:C26)</f>
        <v>33029.387484239167</v>
      </c>
      <c r="D22" s="34">
        <f>SUM(D23:D26)</f>
        <v>43770.81</v>
      </c>
      <c r="E22" s="34">
        <f>SUM(E23:E26)</f>
        <v>42770.81</v>
      </c>
      <c r="F22" s="34">
        <f>SUM(F23:F26)</f>
        <v>40489.53</v>
      </c>
      <c r="G22" s="34">
        <f>D22/C22*100</f>
        <v>132.52080445296292</v>
      </c>
    </row>
    <row r="23" spans="1:7" ht="13.5" customHeight="1" x14ac:dyDescent="0.2">
      <c r="A23" s="3" t="s">
        <v>1</v>
      </c>
      <c r="B23" s="10" t="s">
        <v>2</v>
      </c>
      <c r="C23" s="16">
        <f>52439.8/7.5345</f>
        <v>6959.9575287013076</v>
      </c>
      <c r="D23" s="16">
        <v>6640.11</v>
      </c>
      <c r="E23" s="16">
        <v>6640.11</v>
      </c>
      <c r="F23" s="16">
        <v>6159.56</v>
      </c>
      <c r="G23" s="16"/>
    </row>
    <row r="24" spans="1:7" ht="13.5" customHeight="1" x14ac:dyDescent="0.2">
      <c r="A24" s="3" t="s">
        <v>3</v>
      </c>
      <c r="B24" s="10" t="s">
        <v>4</v>
      </c>
      <c r="C24" s="16">
        <f>194080.12/7.5345</f>
        <v>25758.858583847632</v>
      </c>
      <c r="D24" s="16">
        <v>36570.129999999997</v>
      </c>
      <c r="E24" s="16">
        <v>35570.129999999997</v>
      </c>
      <c r="F24" s="16">
        <v>33769.800000000003</v>
      </c>
      <c r="G24" s="16"/>
    </row>
    <row r="25" spans="1:7" ht="13.5" customHeight="1" x14ac:dyDescent="0.2">
      <c r="A25" s="3" t="s">
        <v>5</v>
      </c>
      <c r="B25" s="10" t="s">
        <v>6</v>
      </c>
      <c r="C25" s="16">
        <f>2340/7.5345</f>
        <v>310.57137169022496</v>
      </c>
      <c r="D25" s="16">
        <v>560.57000000000005</v>
      </c>
      <c r="E25" s="16">
        <v>560.57000000000005</v>
      </c>
      <c r="F25" s="16">
        <v>560.16999999999996</v>
      </c>
      <c r="G25" s="16"/>
    </row>
    <row r="26" spans="1:7" ht="13.5" customHeight="1" x14ac:dyDescent="0.2">
      <c r="A26" s="3" t="s">
        <v>7</v>
      </c>
      <c r="B26" s="10" t="s">
        <v>8</v>
      </c>
      <c r="C26" s="16"/>
      <c r="D26" s="16"/>
      <c r="E26" s="16"/>
      <c r="F26" s="16"/>
      <c r="G26" s="16"/>
    </row>
    <row r="27" spans="1:7" s="35" customFormat="1" ht="13.5" customHeight="1" x14ac:dyDescent="0.2">
      <c r="A27" s="32">
        <v>322</v>
      </c>
      <c r="B27" s="54" t="s">
        <v>114</v>
      </c>
      <c r="C27" s="34">
        <f>SUM(C28:C33)</f>
        <v>86497.958723206582</v>
      </c>
      <c r="D27" s="34">
        <f>SUM(D28:D33)</f>
        <v>66741.759999999995</v>
      </c>
      <c r="E27" s="34">
        <f>SUM(E28:E33)</f>
        <v>67561.12000000001</v>
      </c>
      <c r="F27" s="34">
        <f>SUM(F28:F33)</f>
        <v>65267.34</v>
      </c>
      <c r="G27" s="34">
        <f>F27/C27*100</f>
        <v>75.455352893188433</v>
      </c>
    </row>
    <row r="28" spans="1:7" ht="13.5" customHeight="1" x14ac:dyDescent="0.2">
      <c r="A28" s="3" t="s">
        <v>9</v>
      </c>
      <c r="B28" s="10" t="s">
        <v>10</v>
      </c>
      <c r="C28" s="16">
        <f>92866.43/7.5345</f>
        <v>12325.49339704028</v>
      </c>
      <c r="D28" s="16">
        <v>11879.57</v>
      </c>
      <c r="E28" s="16">
        <v>11698.93</v>
      </c>
      <c r="F28" s="16">
        <v>12999.95</v>
      </c>
      <c r="G28" s="16"/>
    </row>
    <row r="29" spans="1:7" ht="13.5" customHeight="1" x14ac:dyDescent="0.2">
      <c r="A29" s="9">
        <v>3222</v>
      </c>
      <c r="B29" s="10" t="s">
        <v>75</v>
      </c>
      <c r="C29" s="16">
        <f>39772.69/7.5345</f>
        <v>5278.7431150043139</v>
      </c>
      <c r="D29" s="16">
        <v>5640.11</v>
      </c>
      <c r="E29" s="16">
        <v>6640.11</v>
      </c>
      <c r="F29" s="16">
        <v>6552.8</v>
      </c>
      <c r="G29" s="16"/>
    </row>
    <row r="30" spans="1:7" ht="13.5" customHeight="1" x14ac:dyDescent="0.2">
      <c r="A30" s="3" t="s">
        <v>11</v>
      </c>
      <c r="B30" s="10" t="s">
        <v>12</v>
      </c>
      <c r="C30" s="16">
        <f>509665.56/7.5345</f>
        <v>67644.244475413099</v>
      </c>
      <c r="D30" s="16">
        <v>46919.06</v>
      </c>
      <c r="E30" s="16">
        <v>46919.06</v>
      </c>
      <c r="F30" s="16">
        <v>44051.6</v>
      </c>
      <c r="G30" s="16"/>
    </row>
    <row r="31" spans="1:7" ht="13.5" customHeight="1" x14ac:dyDescent="0.2">
      <c r="A31" s="3" t="s">
        <v>13</v>
      </c>
      <c r="B31" s="36" t="s">
        <v>14</v>
      </c>
      <c r="C31" s="16">
        <f>404/7.5345</f>
        <v>53.62001459950892</v>
      </c>
      <c r="D31" s="16">
        <v>975</v>
      </c>
      <c r="E31" s="16">
        <v>975</v>
      </c>
      <c r="F31" s="16">
        <v>975</v>
      </c>
      <c r="G31" s="16"/>
    </row>
    <row r="32" spans="1:7" ht="13.5" customHeight="1" x14ac:dyDescent="0.2">
      <c r="A32" s="3" t="s">
        <v>15</v>
      </c>
      <c r="B32" s="10" t="s">
        <v>16</v>
      </c>
      <c r="C32" s="16">
        <f>9010.19/7.5345</f>
        <v>1195.8577211493796</v>
      </c>
      <c r="D32" s="16">
        <v>1328.02</v>
      </c>
      <c r="E32" s="16">
        <v>1328.02</v>
      </c>
      <c r="F32" s="16">
        <v>687.99</v>
      </c>
      <c r="G32" s="16"/>
    </row>
    <row r="33" spans="1:9" ht="13.5" customHeight="1" x14ac:dyDescent="0.2">
      <c r="A33" s="9">
        <v>3227</v>
      </c>
      <c r="B33" s="10" t="s">
        <v>171</v>
      </c>
      <c r="C33" s="16">
        <v>0</v>
      </c>
      <c r="D33" s="16"/>
      <c r="E33" s="16"/>
      <c r="F33" s="16"/>
      <c r="G33" s="16"/>
    </row>
    <row r="34" spans="1:9" s="35" customFormat="1" ht="13.5" customHeight="1" x14ac:dyDescent="0.2">
      <c r="A34" s="32">
        <v>323</v>
      </c>
      <c r="B34" s="54" t="s">
        <v>115</v>
      </c>
      <c r="C34" s="34">
        <f>SUM(C35:C43)</f>
        <v>18754.596854469441</v>
      </c>
      <c r="D34" s="34">
        <f>SUM(D35:D43)</f>
        <v>22964.47</v>
      </c>
      <c r="E34" s="34">
        <f>SUM(E35:E43)</f>
        <v>23145.110000000004</v>
      </c>
      <c r="F34" s="34">
        <f>SUM(F35:F43)</f>
        <v>23829.829999999998</v>
      </c>
      <c r="G34" s="34">
        <f>F34/C34*100</f>
        <v>127.06127561638878</v>
      </c>
    </row>
    <row r="35" spans="1:9" ht="13.5" customHeight="1" x14ac:dyDescent="0.2">
      <c r="A35" s="3" t="s">
        <v>17</v>
      </c>
      <c r="B35" s="10" t="s">
        <v>18</v>
      </c>
      <c r="C35" s="16">
        <f>7596.64/7.5345</f>
        <v>1008.2473953148849</v>
      </c>
      <c r="D35" s="16">
        <v>1029.6099999999999</v>
      </c>
      <c r="E35" s="16">
        <v>1029.6099999999999</v>
      </c>
      <c r="F35" s="16">
        <v>1080.33</v>
      </c>
      <c r="G35" s="16"/>
    </row>
    <row r="36" spans="1:9" ht="13.5" customHeight="1" x14ac:dyDescent="0.2">
      <c r="A36" s="3" t="s">
        <v>19</v>
      </c>
      <c r="B36" s="10" t="s">
        <v>20</v>
      </c>
      <c r="C36" s="16">
        <f>2000/7.5345</f>
        <v>265.44561682925212</v>
      </c>
      <c r="D36" s="16">
        <v>0</v>
      </c>
      <c r="E36" s="16"/>
      <c r="F36" s="16"/>
      <c r="G36" s="16"/>
    </row>
    <row r="37" spans="1:9" ht="13.5" customHeight="1" x14ac:dyDescent="0.2">
      <c r="A37" s="3" t="s">
        <v>21</v>
      </c>
      <c r="B37" s="10" t="s">
        <v>22</v>
      </c>
      <c r="C37" s="16">
        <f>960/7.5345</f>
        <v>127.41389607804101</v>
      </c>
      <c r="D37" s="16">
        <v>84.96</v>
      </c>
      <c r="E37" s="16">
        <v>265.60000000000002</v>
      </c>
      <c r="F37" s="16">
        <v>116.82</v>
      </c>
      <c r="G37" s="16"/>
    </row>
    <row r="38" spans="1:9" ht="13.5" customHeight="1" x14ac:dyDescent="0.2">
      <c r="A38" s="3" t="s">
        <v>23</v>
      </c>
      <c r="B38" s="10" t="s">
        <v>24</v>
      </c>
      <c r="C38" s="16">
        <f>89211.34/7.5345</f>
        <v>11840.379587232064</v>
      </c>
      <c r="D38" s="16">
        <v>12952.19</v>
      </c>
      <c r="E38" s="16">
        <v>12952.19</v>
      </c>
      <c r="F38" s="16">
        <v>14521.99</v>
      </c>
      <c r="G38" s="16"/>
    </row>
    <row r="39" spans="1:9" ht="13.5" customHeight="1" x14ac:dyDescent="0.2">
      <c r="A39" s="9">
        <v>3235</v>
      </c>
      <c r="B39" s="10" t="s">
        <v>76</v>
      </c>
      <c r="C39" s="16">
        <v>0</v>
      </c>
      <c r="D39" s="16">
        <v>0</v>
      </c>
      <c r="E39" s="16">
        <v>0</v>
      </c>
      <c r="F39" s="16">
        <v>0</v>
      </c>
      <c r="G39" s="16"/>
    </row>
    <row r="40" spans="1:9" ht="13.5" customHeight="1" x14ac:dyDescent="0.2">
      <c r="A40" s="3" t="s">
        <v>25</v>
      </c>
      <c r="B40" s="10" t="s">
        <v>26</v>
      </c>
      <c r="C40" s="16">
        <f>9541.71/7.5345</f>
        <v>1266.4025482779214</v>
      </c>
      <c r="D40" s="16">
        <v>3503.88</v>
      </c>
      <c r="E40" s="16">
        <v>3503.88</v>
      </c>
      <c r="F40" s="16">
        <v>3187.64</v>
      </c>
      <c r="G40" s="16"/>
    </row>
    <row r="41" spans="1:9" ht="13.5" customHeight="1" x14ac:dyDescent="0.2">
      <c r="A41" s="3" t="s">
        <v>27</v>
      </c>
      <c r="B41" s="10" t="s">
        <v>28</v>
      </c>
      <c r="C41" s="16">
        <v>0</v>
      </c>
      <c r="D41" s="16">
        <v>0</v>
      </c>
      <c r="E41" s="16">
        <v>0</v>
      </c>
      <c r="F41" s="16">
        <v>0</v>
      </c>
      <c r="G41" s="16"/>
    </row>
    <row r="42" spans="1:9" ht="13.5" customHeight="1" x14ac:dyDescent="0.2">
      <c r="A42" s="3" t="s">
        <v>29</v>
      </c>
      <c r="B42" s="10" t="s">
        <v>30</v>
      </c>
      <c r="C42" s="16">
        <f>27572.44/7.5345</f>
        <v>3659.4916716437715</v>
      </c>
      <c r="D42" s="16">
        <v>4484.0600000000004</v>
      </c>
      <c r="E42" s="16">
        <v>4484.0600000000004</v>
      </c>
      <c r="F42" s="16">
        <v>3865.57</v>
      </c>
      <c r="G42" s="16"/>
    </row>
    <row r="43" spans="1:9" ht="13.5" customHeight="1" x14ac:dyDescent="0.2">
      <c r="A43" s="3" t="s">
        <v>31</v>
      </c>
      <c r="B43" s="10" t="s">
        <v>32</v>
      </c>
      <c r="C43" s="16">
        <f>4424.38/7.5345</f>
        <v>587.21613909350322</v>
      </c>
      <c r="D43" s="16">
        <v>909.77</v>
      </c>
      <c r="E43" s="16">
        <v>909.77</v>
      </c>
      <c r="F43" s="16">
        <v>1057.48</v>
      </c>
      <c r="G43" s="16"/>
    </row>
    <row r="44" spans="1:9" s="51" customFormat="1" ht="23.25" customHeight="1" x14ac:dyDescent="0.2">
      <c r="A44" s="46">
        <v>324</v>
      </c>
      <c r="B44" s="65" t="s">
        <v>34</v>
      </c>
      <c r="C44" s="52">
        <v>0</v>
      </c>
      <c r="D44" s="52">
        <f>D45</f>
        <v>0</v>
      </c>
      <c r="E44" s="52"/>
      <c r="F44" s="52"/>
      <c r="G44" s="52" t="e">
        <f>F44/C44*100</f>
        <v>#DIV/0!</v>
      </c>
      <c r="I44" s="35"/>
    </row>
    <row r="45" spans="1:9" ht="13.5" customHeight="1" x14ac:dyDescent="0.2">
      <c r="A45" s="3" t="s">
        <v>33</v>
      </c>
      <c r="B45" s="10" t="s">
        <v>34</v>
      </c>
      <c r="C45" s="16"/>
      <c r="D45" s="16"/>
      <c r="E45" s="16"/>
      <c r="F45" s="16"/>
      <c r="G45" s="16"/>
    </row>
    <row r="46" spans="1:9" s="35" customFormat="1" ht="13.5" customHeight="1" x14ac:dyDescent="0.2">
      <c r="A46" s="32">
        <v>329</v>
      </c>
      <c r="B46" s="66" t="s">
        <v>44</v>
      </c>
      <c r="C46" s="34">
        <f>SUM(C47:C51)</f>
        <v>1995.1131461941734</v>
      </c>
      <c r="D46" s="34">
        <f>SUM(D47:D51)</f>
        <v>2026.02</v>
      </c>
      <c r="E46" s="34">
        <f>SUM(E47:E51)</f>
        <v>2026.02</v>
      </c>
      <c r="F46" s="34">
        <f>SUM(F47:F51)</f>
        <v>1966.8000000000002</v>
      </c>
      <c r="G46" s="34">
        <f>F46/C46*100</f>
        <v>98.580875162484759</v>
      </c>
    </row>
    <row r="47" spans="1:9" ht="13.5" customHeight="1" x14ac:dyDescent="0.2">
      <c r="A47" s="3" t="s">
        <v>35</v>
      </c>
      <c r="B47" s="10" t="s">
        <v>36</v>
      </c>
      <c r="C47" s="16">
        <f>2096.64/7.5345</f>
        <v>278.27194903444155</v>
      </c>
      <c r="D47" s="16">
        <v>398.4</v>
      </c>
      <c r="E47" s="16">
        <v>398.4</v>
      </c>
      <c r="F47" s="16">
        <v>139.16</v>
      </c>
      <c r="G47" s="16"/>
    </row>
    <row r="48" spans="1:9" ht="13.5" customHeight="1" x14ac:dyDescent="0.2">
      <c r="A48" s="3" t="s">
        <v>37</v>
      </c>
      <c r="B48" s="10" t="s">
        <v>38</v>
      </c>
      <c r="C48" s="16">
        <f>8274.16/7.5345</f>
        <v>1098.1697524719623</v>
      </c>
      <c r="D48" s="16">
        <v>1062.42</v>
      </c>
      <c r="E48" s="16">
        <v>1062.42</v>
      </c>
      <c r="F48" s="16">
        <v>1077.42</v>
      </c>
      <c r="G48" s="16"/>
    </row>
    <row r="49" spans="1:8" ht="13.5" customHeight="1" x14ac:dyDescent="0.2">
      <c r="A49" s="3" t="s">
        <v>39</v>
      </c>
      <c r="B49" s="10" t="s">
        <v>40</v>
      </c>
      <c r="C49" s="16">
        <f>700/7.5345</f>
        <v>92.905965890238235</v>
      </c>
      <c r="D49" s="16">
        <v>199.6</v>
      </c>
      <c r="E49" s="16">
        <v>199.6</v>
      </c>
      <c r="F49" s="16">
        <v>139.82</v>
      </c>
      <c r="G49" s="16"/>
    </row>
    <row r="50" spans="1:8" ht="13.5" customHeight="1" x14ac:dyDescent="0.2">
      <c r="A50" s="3" t="s">
        <v>41</v>
      </c>
      <c r="B50" s="10" t="s">
        <v>42</v>
      </c>
      <c r="C50" s="16">
        <f>1371.38/7.5345</f>
        <v>182.01340500364989</v>
      </c>
      <c r="D50" s="16">
        <v>0</v>
      </c>
      <c r="E50" s="16">
        <v>0</v>
      </c>
      <c r="F50" s="16"/>
      <c r="G50" s="16"/>
    </row>
    <row r="51" spans="1:8" ht="13.5" customHeight="1" x14ac:dyDescent="0.2">
      <c r="A51" s="3" t="s">
        <v>43</v>
      </c>
      <c r="B51" s="10" t="s">
        <v>44</v>
      </c>
      <c r="C51" s="16">
        <f>2590/7.5345</f>
        <v>343.75207379388144</v>
      </c>
      <c r="D51" s="16">
        <v>365.6</v>
      </c>
      <c r="E51" s="16">
        <v>365.6</v>
      </c>
      <c r="F51" s="16">
        <v>610.4</v>
      </c>
      <c r="G51" s="16"/>
    </row>
    <row r="52" spans="1:8" s="35" customFormat="1" ht="13.5" customHeight="1" x14ac:dyDescent="0.2">
      <c r="A52" s="32">
        <v>34</v>
      </c>
      <c r="B52" s="66" t="s">
        <v>58</v>
      </c>
      <c r="C52" s="34">
        <f>SUM(C53:C55)</f>
        <v>1.2621939080230937</v>
      </c>
      <c r="D52" s="34">
        <f>SUM(D53:D55)</f>
        <v>6.64</v>
      </c>
      <c r="E52" s="34"/>
      <c r="F52" s="34"/>
      <c r="G52" s="34">
        <f>F52/C52*100</f>
        <v>0</v>
      </c>
    </row>
    <row r="53" spans="1:8" s="35" customFormat="1" ht="13.5" customHeight="1" x14ac:dyDescent="0.2">
      <c r="A53" s="32">
        <v>343</v>
      </c>
      <c r="B53" s="54" t="s">
        <v>116</v>
      </c>
      <c r="C53" s="34">
        <v>0</v>
      </c>
      <c r="D53" s="34">
        <v>0</v>
      </c>
      <c r="E53" s="34"/>
      <c r="F53" s="34"/>
      <c r="G53" s="34" t="e">
        <f>F53/C53*100</f>
        <v>#DIV/0!</v>
      </c>
    </row>
    <row r="54" spans="1:8" ht="13.5" customHeight="1" x14ac:dyDescent="0.2">
      <c r="A54" s="9">
        <v>3431</v>
      </c>
      <c r="B54" s="10" t="s">
        <v>45</v>
      </c>
      <c r="C54" s="16"/>
      <c r="D54" s="16">
        <v>0</v>
      </c>
      <c r="E54" s="16"/>
      <c r="F54" s="16"/>
      <c r="G54" s="16"/>
    </row>
    <row r="55" spans="1:8" ht="13.5" customHeight="1" x14ac:dyDescent="0.2">
      <c r="A55" s="9">
        <v>3433</v>
      </c>
      <c r="B55" s="10" t="s">
        <v>46</v>
      </c>
      <c r="C55" s="16">
        <f>9.51/7.5345</f>
        <v>1.2621939080230937</v>
      </c>
      <c r="D55" s="16">
        <v>6.64</v>
      </c>
      <c r="E55" s="16">
        <v>0</v>
      </c>
      <c r="F55" s="16"/>
      <c r="G55" s="16"/>
    </row>
    <row r="56" spans="1:8" ht="13.5" customHeight="1" x14ac:dyDescent="0.2">
      <c r="A56" s="32">
        <v>38</v>
      </c>
      <c r="B56" s="54" t="s">
        <v>232</v>
      </c>
      <c r="C56" s="33">
        <f>C57</f>
        <v>0</v>
      </c>
      <c r="D56" s="33">
        <v>0</v>
      </c>
      <c r="E56" s="33"/>
      <c r="F56" s="33"/>
      <c r="G56" s="33"/>
      <c r="H56" s="6"/>
    </row>
    <row r="57" spans="1:8" ht="13.5" customHeight="1" x14ac:dyDescent="0.2">
      <c r="A57" s="32">
        <v>381</v>
      </c>
      <c r="B57" s="54" t="s">
        <v>54</v>
      </c>
      <c r="C57" s="16">
        <v>0</v>
      </c>
      <c r="D57" s="16"/>
      <c r="E57" s="16"/>
      <c r="F57" s="16"/>
      <c r="G57" s="16"/>
    </row>
    <row r="58" spans="1:8" ht="13.5" customHeight="1" x14ac:dyDescent="0.2">
      <c r="A58" s="9">
        <v>3811</v>
      </c>
      <c r="B58" s="10" t="s">
        <v>233</v>
      </c>
      <c r="C58" s="16"/>
      <c r="D58" s="16">
        <v>0</v>
      </c>
      <c r="E58" s="16"/>
      <c r="F58" s="16"/>
      <c r="G58" s="16"/>
    </row>
    <row r="59" spans="1:8" ht="24" customHeight="1" x14ac:dyDescent="0.2">
      <c r="A59" s="297" t="s">
        <v>63</v>
      </c>
      <c r="B59" s="298"/>
      <c r="C59" s="56">
        <f>C60+C98+C118+C165+C185</f>
        <v>1216444.3479992035</v>
      </c>
      <c r="D59" s="56">
        <f>D60+D98+D118+D165+D185</f>
        <v>1663115.48</v>
      </c>
      <c r="E59" s="56">
        <f>E60+E98+E118+E165+E185</f>
        <v>1651685.19</v>
      </c>
      <c r="F59" s="56">
        <f>F60+F98+F118+F165+F185</f>
        <v>1239585.6499999999</v>
      </c>
      <c r="G59" s="56">
        <f>D59/C59*100</f>
        <v>136.71940543235513</v>
      </c>
    </row>
    <row r="60" spans="1:8" ht="13.5" customHeight="1" x14ac:dyDescent="0.2">
      <c r="A60" s="285" t="s">
        <v>190</v>
      </c>
      <c r="B60" s="286"/>
      <c r="C60" s="53">
        <f>C61+C68+C88</f>
        <v>13061.121507731103</v>
      </c>
      <c r="D60" s="53">
        <f>D61+D68+D88</f>
        <v>26177.1</v>
      </c>
      <c r="E60" s="53">
        <f>E61+E68+E88</f>
        <v>23096.809999999998</v>
      </c>
      <c r="F60" s="53">
        <f>F61+F68+F88</f>
        <v>13053.25</v>
      </c>
      <c r="G60" s="53">
        <f>F60/C60*100</f>
        <v>99.93973329375703</v>
      </c>
    </row>
    <row r="61" spans="1:8" s="2" customFormat="1" ht="13.5" customHeight="1" x14ac:dyDescent="0.2">
      <c r="A61" s="32">
        <v>31</v>
      </c>
      <c r="B61" s="61" t="s">
        <v>64</v>
      </c>
      <c r="C61" s="33">
        <f>C62+C64+C66</f>
        <v>0</v>
      </c>
      <c r="D61" s="33">
        <f>D62+D66+D64</f>
        <v>0</v>
      </c>
      <c r="E61" s="33"/>
      <c r="F61" s="33">
        <f>F62+F66+F64</f>
        <v>32.770000000000003</v>
      </c>
      <c r="G61" s="33" t="e">
        <f>F61/C61*100</f>
        <v>#DIV/0!</v>
      </c>
    </row>
    <row r="62" spans="1:8" s="2" customFormat="1" ht="13.5" customHeight="1" x14ac:dyDescent="0.2">
      <c r="A62" s="32">
        <v>311</v>
      </c>
      <c r="B62" s="61" t="s">
        <v>109</v>
      </c>
      <c r="C62" s="34">
        <v>0</v>
      </c>
      <c r="D62" s="34">
        <f>D63</f>
        <v>0</v>
      </c>
      <c r="E62" s="34"/>
      <c r="F62" s="34">
        <f>F63</f>
        <v>32.770000000000003</v>
      </c>
      <c r="G62" s="34" t="e">
        <f>D62/C62*100</f>
        <v>#DIV/0!</v>
      </c>
    </row>
    <row r="63" spans="1:8" s="5" customFormat="1" ht="13.5" customHeight="1" x14ac:dyDescent="0.2">
      <c r="A63" s="3" t="s">
        <v>65</v>
      </c>
      <c r="B63" s="10" t="s">
        <v>66</v>
      </c>
      <c r="C63" s="16"/>
      <c r="D63" s="16"/>
      <c r="E63" s="16"/>
      <c r="F63" s="16">
        <v>32.770000000000003</v>
      </c>
      <c r="G63" s="16"/>
    </row>
    <row r="64" spans="1:8" s="5" customFormat="1" ht="13.5" customHeight="1" x14ac:dyDescent="0.2">
      <c r="A64" s="42">
        <v>312</v>
      </c>
      <c r="B64" s="62" t="s">
        <v>74</v>
      </c>
      <c r="C64" s="33">
        <v>0</v>
      </c>
      <c r="D64" s="33">
        <f>D65</f>
        <v>0</v>
      </c>
      <c r="E64" s="33"/>
      <c r="F64" s="33"/>
      <c r="G64" s="33" t="e">
        <f>F64/C64*100</f>
        <v>#DIV/0!</v>
      </c>
    </row>
    <row r="65" spans="1:7" s="5" customFormat="1" ht="13.5" customHeight="1" x14ac:dyDescent="0.2">
      <c r="A65" s="7">
        <v>3121</v>
      </c>
      <c r="B65" s="64" t="s">
        <v>74</v>
      </c>
      <c r="C65" s="16"/>
      <c r="D65" s="16"/>
      <c r="E65" s="16"/>
      <c r="F65" s="16"/>
      <c r="G65" s="16"/>
    </row>
    <row r="66" spans="1:7" s="6" customFormat="1" ht="13.5" customHeight="1" x14ac:dyDescent="0.2">
      <c r="A66" s="32">
        <v>313</v>
      </c>
      <c r="B66" s="61" t="s">
        <v>111</v>
      </c>
      <c r="C66" s="34">
        <v>0</v>
      </c>
      <c r="D66" s="34">
        <f>D67</f>
        <v>0</v>
      </c>
      <c r="E66" s="34"/>
      <c r="F66" s="34"/>
      <c r="G66" s="34" t="e">
        <f>F66/C66*100</f>
        <v>#DIV/0!</v>
      </c>
    </row>
    <row r="67" spans="1:7" s="5" customFormat="1" ht="13.5" customHeight="1" x14ac:dyDescent="0.2">
      <c r="A67" s="9">
        <v>3132</v>
      </c>
      <c r="B67" s="64" t="s">
        <v>112</v>
      </c>
      <c r="C67" s="16"/>
      <c r="D67" s="16"/>
      <c r="E67" s="16"/>
      <c r="F67" s="16"/>
      <c r="G67" s="16"/>
    </row>
    <row r="68" spans="1:7" s="2" customFormat="1" ht="13.5" customHeight="1" x14ac:dyDescent="0.2">
      <c r="A68" s="32">
        <v>32</v>
      </c>
      <c r="B68" s="61" t="s">
        <v>57</v>
      </c>
      <c r="C68" s="41">
        <f>C69+C72+C78+C84</f>
        <v>10205.541177251311</v>
      </c>
      <c r="D68" s="41">
        <f>D69+D72+D78+D84</f>
        <v>22977.1</v>
      </c>
      <c r="E68" s="41">
        <f>E69+E72+E78+E84</f>
        <v>21896.809999999998</v>
      </c>
      <c r="F68" s="41">
        <f>F69+F72+F78+F84</f>
        <v>10533.92</v>
      </c>
      <c r="G68" s="41">
        <f>F68/C68*100</f>
        <v>103.21765222485861</v>
      </c>
    </row>
    <row r="69" spans="1:7" s="2" customFormat="1" ht="13.5" customHeight="1" x14ac:dyDescent="0.2">
      <c r="A69" s="32">
        <v>321</v>
      </c>
      <c r="B69" s="61" t="s">
        <v>113</v>
      </c>
      <c r="C69" s="33">
        <v>0</v>
      </c>
      <c r="D69" s="33">
        <f>SUM(D70:D71)</f>
        <v>580.29</v>
      </c>
      <c r="E69" s="33"/>
      <c r="F69" s="33">
        <f>SUM(F70:F71)</f>
        <v>345.44</v>
      </c>
      <c r="G69" s="33" t="e">
        <f>F69/C69*100</f>
        <v>#DIV/0!</v>
      </c>
    </row>
    <row r="70" spans="1:7" s="4" customFormat="1" ht="13.5" customHeight="1" x14ac:dyDescent="0.2">
      <c r="A70" s="3" t="s">
        <v>1</v>
      </c>
      <c r="B70" s="10" t="s">
        <v>2</v>
      </c>
      <c r="C70" s="16"/>
      <c r="D70" s="16">
        <v>380.29</v>
      </c>
      <c r="E70" s="16">
        <v>380.29</v>
      </c>
      <c r="F70" s="16">
        <v>0</v>
      </c>
      <c r="G70" s="16"/>
    </row>
    <row r="71" spans="1:7" s="4" customFormat="1" ht="13.5" customHeight="1" x14ac:dyDescent="0.2">
      <c r="A71" s="9">
        <v>3213</v>
      </c>
      <c r="B71" s="10" t="s">
        <v>6</v>
      </c>
      <c r="C71" s="16"/>
      <c r="D71" s="16">
        <v>200</v>
      </c>
      <c r="E71" s="16">
        <v>200</v>
      </c>
      <c r="F71" s="16">
        <v>345.44</v>
      </c>
      <c r="G71" s="16"/>
    </row>
    <row r="72" spans="1:7" s="2" customFormat="1" ht="13.5" customHeight="1" x14ac:dyDescent="0.2">
      <c r="A72" s="32">
        <v>322</v>
      </c>
      <c r="B72" s="54" t="s">
        <v>114</v>
      </c>
      <c r="C72" s="67">
        <f>SUM(C73:C77)</f>
        <v>693.30678877165042</v>
      </c>
      <c r="D72" s="67">
        <f>SUM(D73:D76)</f>
        <v>3000</v>
      </c>
      <c r="E72" s="67">
        <f>SUM(E73:E76)</f>
        <v>2500</v>
      </c>
      <c r="F72" s="67">
        <f>SUM(F73:F76)</f>
        <v>2418.42</v>
      </c>
      <c r="G72" s="67">
        <f>F72/C72*100</f>
        <v>348.82393179573177</v>
      </c>
    </row>
    <row r="73" spans="1:7" s="5" customFormat="1" ht="13.5" customHeight="1" x14ac:dyDescent="0.2">
      <c r="A73" s="3" t="s">
        <v>9</v>
      </c>
      <c r="B73" s="10" t="s">
        <v>10</v>
      </c>
      <c r="C73" s="16">
        <f>4086.45/7.5345</f>
        <v>542.36512044594861</v>
      </c>
      <c r="D73" s="16">
        <v>1000</v>
      </c>
      <c r="E73" s="16">
        <v>1000</v>
      </c>
      <c r="F73" s="16">
        <v>979.82</v>
      </c>
      <c r="G73" s="16"/>
    </row>
    <row r="74" spans="1:7" s="5" customFormat="1" ht="13.5" customHeight="1" x14ac:dyDescent="0.2">
      <c r="A74" s="3">
        <v>3222</v>
      </c>
      <c r="B74" s="10" t="s">
        <v>75</v>
      </c>
      <c r="C74" s="16"/>
      <c r="D74" s="16">
        <v>500</v>
      </c>
      <c r="E74" s="16"/>
      <c r="F74" s="16">
        <v>79.7</v>
      </c>
      <c r="G74" s="16"/>
    </row>
    <row r="75" spans="1:7" s="5" customFormat="1" ht="13.5" customHeight="1" x14ac:dyDescent="0.2">
      <c r="A75" s="3" t="s">
        <v>13</v>
      </c>
      <c r="B75" s="10" t="s">
        <v>14</v>
      </c>
      <c r="C75" s="16"/>
      <c r="D75" s="16">
        <v>700</v>
      </c>
      <c r="E75" s="16">
        <v>700</v>
      </c>
      <c r="F75" s="16">
        <v>0</v>
      </c>
      <c r="G75" s="16"/>
    </row>
    <row r="76" spans="1:7" s="5" customFormat="1" ht="13.5" customHeight="1" x14ac:dyDescent="0.2">
      <c r="A76" s="3" t="s">
        <v>15</v>
      </c>
      <c r="B76" s="10" t="s">
        <v>16</v>
      </c>
      <c r="C76" s="16"/>
      <c r="D76" s="16">
        <v>800</v>
      </c>
      <c r="E76" s="16">
        <v>800</v>
      </c>
      <c r="F76" s="16">
        <v>1358.9</v>
      </c>
      <c r="G76" s="16"/>
    </row>
    <row r="77" spans="1:7" s="5" customFormat="1" ht="13.5" customHeight="1" x14ac:dyDescent="0.2">
      <c r="A77" s="3">
        <v>3227</v>
      </c>
      <c r="B77" s="10" t="s">
        <v>255</v>
      </c>
      <c r="C77" s="16">
        <f>1137.27/7.5345</f>
        <v>150.94166832570176</v>
      </c>
      <c r="D77" s="16"/>
      <c r="E77" s="16"/>
      <c r="F77" s="16"/>
      <c r="G77" s="16"/>
    </row>
    <row r="78" spans="1:7" s="6" customFormat="1" ht="13.5" customHeight="1" x14ac:dyDescent="0.2">
      <c r="A78" s="32">
        <v>323</v>
      </c>
      <c r="B78" s="54" t="s">
        <v>115</v>
      </c>
      <c r="C78" s="67">
        <f>SUM(C79:C83)</f>
        <v>216.57044263056605</v>
      </c>
      <c r="D78" s="67">
        <f>SUM(D79:D83)</f>
        <v>3296.81</v>
      </c>
      <c r="E78" s="67">
        <f>SUM(E79:E83)</f>
        <v>3296.81</v>
      </c>
      <c r="F78" s="67">
        <f>SUM(F79:F83)</f>
        <v>564.05999999999995</v>
      </c>
      <c r="G78" s="67">
        <f>F78/C78*100</f>
        <v>260.45105377662014</v>
      </c>
    </row>
    <row r="79" spans="1:7" s="5" customFormat="1" ht="13.5" customHeight="1" x14ac:dyDescent="0.2">
      <c r="A79" s="9">
        <v>3231</v>
      </c>
      <c r="B79" s="10" t="s">
        <v>18</v>
      </c>
      <c r="C79" s="16">
        <f>411.75/7.5345</f>
        <v>54.648616364722272</v>
      </c>
      <c r="D79" s="68">
        <v>700</v>
      </c>
      <c r="E79" s="68">
        <v>700</v>
      </c>
      <c r="F79" s="68">
        <v>550</v>
      </c>
      <c r="G79" s="68"/>
    </row>
    <row r="80" spans="1:7" s="5" customFormat="1" ht="13.5" customHeight="1" x14ac:dyDescent="0.2">
      <c r="A80" s="3" t="s">
        <v>19</v>
      </c>
      <c r="B80" s="10" t="s">
        <v>20</v>
      </c>
      <c r="C80" s="16"/>
      <c r="D80" s="16">
        <v>796.81</v>
      </c>
      <c r="E80" s="16">
        <v>796.81</v>
      </c>
      <c r="F80" s="16">
        <v>0</v>
      </c>
      <c r="G80" s="16"/>
    </row>
    <row r="81" spans="1:7" s="5" customFormat="1" ht="13.5" customHeight="1" x14ac:dyDescent="0.2">
      <c r="A81" s="3" t="s">
        <v>23</v>
      </c>
      <c r="B81" s="10" t="s">
        <v>24</v>
      </c>
      <c r="C81" s="16"/>
      <c r="D81" s="16">
        <v>0</v>
      </c>
      <c r="E81" s="16">
        <v>0</v>
      </c>
      <c r="F81" s="16">
        <v>0</v>
      </c>
      <c r="G81" s="16"/>
    </row>
    <row r="82" spans="1:7" s="5" customFormat="1" ht="13.5" customHeight="1" x14ac:dyDescent="0.2">
      <c r="A82" s="9">
        <v>3238</v>
      </c>
      <c r="B82" s="10" t="s">
        <v>30</v>
      </c>
      <c r="C82" s="16"/>
      <c r="D82" s="16">
        <v>1000</v>
      </c>
      <c r="E82" s="16">
        <v>1000</v>
      </c>
      <c r="F82" s="16">
        <v>0</v>
      </c>
      <c r="G82" s="16"/>
    </row>
    <row r="83" spans="1:7" s="5" customFormat="1" ht="13.5" customHeight="1" x14ac:dyDescent="0.2">
      <c r="A83" s="3" t="s">
        <v>31</v>
      </c>
      <c r="B83" s="10" t="s">
        <v>32</v>
      </c>
      <c r="C83" s="16">
        <f>1220/7.5345</f>
        <v>161.92182626584378</v>
      </c>
      <c r="D83" s="16">
        <v>800</v>
      </c>
      <c r="E83" s="16">
        <v>800</v>
      </c>
      <c r="F83" s="16">
        <v>14.06</v>
      </c>
      <c r="G83" s="16"/>
    </row>
    <row r="84" spans="1:7" s="6" customFormat="1" ht="13.5" customHeight="1" x14ac:dyDescent="0.2">
      <c r="A84" s="32">
        <v>329</v>
      </c>
      <c r="B84" s="54" t="s">
        <v>44</v>
      </c>
      <c r="C84" s="67">
        <f>SUM(C85:C87)</f>
        <v>9295.6639458490936</v>
      </c>
      <c r="D84" s="67">
        <f>SUM(D85:D87)</f>
        <v>16100</v>
      </c>
      <c r="E84" s="67">
        <f>SUM(E85:E87)</f>
        <v>16100</v>
      </c>
      <c r="F84" s="67">
        <f>SUM(F85:F87)</f>
        <v>7206</v>
      </c>
      <c r="G84" s="67">
        <f>F84/C84*100</f>
        <v>77.520014083746901</v>
      </c>
    </row>
    <row r="85" spans="1:7" s="6" customFormat="1" ht="13.5" customHeight="1" x14ac:dyDescent="0.2">
      <c r="A85" s="32">
        <v>3293</v>
      </c>
      <c r="B85" s="54" t="s">
        <v>38</v>
      </c>
      <c r="C85" s="33"/>
      <c r="D85" s="67">
        <v>1000</v>
      </c>
      <c r="E85" s="67">
        <v>1000</v>
      </c>
      <c r="F85" s="67">
        <v>479.36</v>
      </c>
      <c r="G85" s="67"/>
    </row>
    <row r="86" spans="1:7" s="5" customFormat="1" ht="13.5" customHeight="1" x14ac:dyDescent="0.2">
      <c r="A86" s="3">
        <v>3294</v>
      </c>
      <c r="B86" s="36" t="s">
        <v>40</v>
      </c>
      <c r="C86" s="16"/>
      <c r="D86" s="16">
        <v>100</v>
      </c>
      <c r="E86" s="16">
        <v>100</v>
      </c>
      <c r="F86" s="16">
        <v>13.27</v>
      </c>
      <c r="G86" s="16"/>
    </row>
    <row r="87" spans="1:7" s="5" customFormat="1" ht="13.5" customHeight="1" x14ac:dyDescent="0.2">
      <c r="A87" s="3" t="s">
        <v>43</v>
      </c>
      <c r="B87" s="10" t="s">
        <v>44</v>
      </c>
      <c r="C87" s="16">
        <f>70038.18/7.5345</f>
        <v>9295.6639458490936</v>
      </c>
      <c r="D87" s="16">
        <v>15000</v>
      </c>
      <c r="E87" s="16">
        <v>15000</v>
      </c>
      <c r="F87" s="16">
        <v>6713.37</v>
      </c>
      <c r="G87" s="16"/>
    </row>
    <row r="88" spans="1:7" s="35" customFormat="1" ht="13.5" customHeight="1" x14ac:dyDescent="0.2">
      <c r="A88" s="32">
        <v>42</v>
      </c>
      <c r="B88" s="66" t="s">
        <v>117</v>
      </c>
      <c r="C88" s="34">
        <f>C89+C96</f>
        <v>2855.5803304797928</v>
      </c>
      <c r="D88" s="34">
        <f>D89+D96</f>
        <v>3200</v>
      </c>
      <c r="E88" s="34">
        <f>E89+E96</f>
        <v>1200</v>
      </c>
      <c r="F88" s="34">
        <f>F89+F96</f>
        <v>2486.56</v>
      </c>
      <c r="G88" s="34">
        <f>F88/C88*100</f>
        <v>87.077221167937154</v>
      </c>
    </row>
    <row r="89" spans="1:7" s="35" customFormat="1" ht="13.5" customHeight="1" x14ac:dyDescent="0.2">
      <c r="A89" s="32">
        <v>422</v>
      </c>
      <c r="B89" s="54" t="s">
        <v>118</v>
      </c>
      <c r="C89" s="67">
        <f>SUM(C90:C95)</f>
        <v>2855.5803304797928</v>
      </c>
      <c r="D89" s="67">
        <f>SUM(D90:D95)</f>
        <v>3000</v>
      </c>
      <c r="E89" s="67">
        <f>SUM(E90:E95)</f>
        <v>1000</v>
      </c>
      <c r="F89" s="67">
        <f>SUM(F90:F95)</f>
        <v>2469.44</v>
      </c>
      <c r="G89" s="67">
        <f>F89/C89*100</f>
        <v>86.477693295537108</v>
      </c>
    </row>
    <row r="90" spans="1:7" s="5" customFormat="1" ht="13.5" customHeight="1" x14ac:dyDescent="0.2">
      <c r="A90" s="37" t="s">
        <v>67</v>
      </c>
      <c r="B90" s="10" t="s">
        <v>68</v>
      </c>
      <c r="C90" s="16">
        <f>10265.37/7.5345</f>
        <v>1362.4487358152498</v>
      </c>
      <c r="D90" s="16">
        <v>2000</v>
      </c>
      <c r="E90" s="16">
        <v>0</v>
      </c>
      <c r="F90" s="16">
        <v>0</v>
      </c>
      <c r="G90" s="16"/>
    </row>
    <row r="91" spans="1:7" s="5" customFormat="1" ht="13.5" customHeight="1" x14ac:dyDescent="0.2">
      <c r="A91" s="37">
        <v>4222</v>
      </c>
      <c r="B91" s="10" t="s">
        <v>86</v>
      </c>
      <c r="C91" s="16"/>
      <c r="D91" s="16"/>
      <c r="E91" s="16"/>
      <c r="F91" s="16"/>
      <c r="G91" s="16"/>
    </row>
    <row r="92" spans="1:7" s="5" customFormat="1" ht="13.5" customHeight="1" x14ac:dyDescent="0.2">
      <c r="A92" s="37">
        <v>4223</v>
      </c>
      <c r="B92" s="10" t="s">
        <v>87</v>
      </c>
      <c r="C92" s="16"/>
      <c r="D92" s="16"/>
      <c r="E92" s="16"/>
      <c r="F92" s="16"/>
      <c r="G92" s="16"/>
    </row>
    <row r="93" spans="1:7" s="5" customFormat="1" ht="13.5" customHeight="1" x14ac:dyDescent="0.2">
      <c r="A93" s="37">
        <v>4225</v>
      </c>
      <c r="B93" s="10" t="s">
        <v>73</v>
      </c>
      <c r="C93" s="16"/>
      <c r="D93" s="16"/>
      <c r="E93" s="16"/>
      <c r="F93" s="16"/>
      <c r="G93" s="16"/>
    </row>
    <row r="94" spans="1:7" s="5" customFormat="1" ht="13.5" customHeight="1" x14ac:dyDescent="0.2">
      <c r="A94" s="37">
        <v>4226</v>
      </c>
      <c r="B94" s="10" t="s">
        <v>88</v>
      </c>
      <c r="C94" s="16"/>
      <c r="D94" s="16"/>
      <c r="E94" s="16"/>
      <c r="F94" s="16"/>
      <c r="G94" s="16"/>
    </row>
    <row r="95" spans="1:7" s="5" customFormat="1" ht="13.5" customHeight="1" x14ac:dyDescent="0.2">
      <c r="A95" s="37">
        <v>4227</v>
      </c>
      <c r="B95" s="10" t="s">
        <v>228</v>
      </c>
      <c r="C95" s="16">
        <f>11250/7.5345</f>
        <v>1493.1315946645429</v>
      </c>
      <c r="D95" s="16">
        <v>1000</v>
      </c>
      <c r="E95" s="16">
        <v>1000</v>
      </c>
      <c r="F95" s="16">
        <v>2469.44</v>
      </c>
      <c r="G95" s="16"/>
    </row>
    <row r="96" spans="1:7" s="35" customFormat="1" ht="13.5" customHeight="1" x14ac:dyDescent="0.2">
      <c r="A96" s="32">
        <v>424</v>
      </c>
      <c r="B96" s="54" t="s">
        <v>119</v>
      </c>
      <c r="C96" s="67">
        <f>SUM(C97)</f>
        <v>0</v>
      </c>
      <c r="D96" s="67">
        <f>SUM(D97)</f>
        <v>200</v>
      </c>
      <c r="E96" s="67">
        <f>SUM(E97)</f>
        <v>200</v>
      </c>
      <c r="F96" s="67">
        <f>F97</f>
        <v>17.12</v>
      </c>
      <c r="G96" s="67" t="e">
        <f>F96/C96*100</f>
        <v>#DIV/0!</v>
      </c>
    </row>
    <row r="97" spans="1:7" s="5" customFormat="1" ht="13.5" customHeight="1" x14ac:dyDescent="0.2">
      <c r="A97" s="3" t="s">
        <v>69</v>
      </c>
      <c r="B97" s="10" t="s">
        <v>70</v>
      </c>
      <c r="C97" s="16">
        <v>0</v>
      </c>
      <c r="D97" s="16">
        <v>200</v>
      </c>
      <c r="E97" s="16">
        <v>200</v>
      </c>
      <c r="F97" s="16">
        <v>17.12</v>
      </c>
      <c r="G97" s="16"/>
    </row>
    <row r="98" spans="1:7" ht="13.5" customHeight="1" x14ac:dyDescent="0.2">
      <c r="A98" s="285" t="s">
        <v>191</v>
      </c>
      <c r="B98" s="286"/>
      <c r="C98" s="53">
        <f>C99+C112</f>
        <v>6411.7871126153022</v>
      </c>
      <c r="D98" s="53">
        <f>D99+D112</f>
        <v>7914.32</v>
      </c>
      <c r="E98" s="53">
        <f>E99+E112</f>
        <v>5414.32</v>
      </c>
      <c r="F98" s="53">
        <f>F99+F112</f>
        <v>7575.22</v>
      </c>
      <c r="G98" s="53">
        <f>D98/C98*100</f>
        <v>123.43391726822055</v>
      </c>
    </row>
    <row r="99" spans="1:7" ht="13.5" customHeight="1" x14ac:dyDescent="0.2">
      <c r="A99" s="32">
        <v>32</v>
      </c>
      <c r="B99" s="61" t="s">
        <v>57</v>
      </c>
      <c r="C99" s="33">
        <f>C100+C103+C106+C108</f>
        <v>6173.0347070143998</v>
      </c>
      <c r="D99" s="33">
        <f>D100+D103+D106+D108</f>
        <v>3320</v>
      </c>
      <c r="E99" s="33">
        <f>E100+E103+E106+E108</f>
        <v>3320</v>
      </c>
      <c r="F99" s="33">
        <f>F100+F103+F106+F108</f>
        <v>4145.96</v>
      </c>
      <c r="G99" s="33">
        <f>F99/C99*100</f>
        <v>67.162428153675506</v>
      </c>
    </row>
    <row r="100" spans="1:7" ht="13.5" customHeight="1" x14ac:dyDescent="0.2">
      <c r="A100" s="32">
        <v>322</v>
      </c>
      <c r="B100" s="54" t="s">
        <v>114</v>
      </c>
      <c r="C100" s="34">
        <f>SUM(C101:C102)</f>
        <v>3512.108301811666</v>
      </c>
      <c r="D100" s="34">
        <f>SUM(D101:D102)</f>
        <v>1720</v>
      </c>
      <c r="E100" s="34">
        <f>SUM(E101:E102)</f>
        <v>1720</v>
      </c>
      <c r="F100" s="34">
        <f>SUM(F101:F102)</f>
        <v>1410</v>
      </c>
      <c r="G100" s="34">
        <f>D100/C100*100</f>
        <v>48.973432827022016</v>
      </c>
    </row>
    <row r="101" spans="1:7" ht="13.5" customHeight="1" x14ac:dyDescent="0.2">
      <c r="A101" s="3" t="s">
        <v>9</v>
      </c>
      <c r="B101" s="10" t="s">
        <v>10</v>
      </c>
      <c r="C101" s="16">
        <f>26461.98/7.5345</f>
        <v>3512.108301811666</v>
      </c>
      <c r="D101" s="16">
        <v>1520</v>
      </c>
      <c r="E101" s="16">
        <v>1520</v>
      </c>
      <c r="F101" s="16">
        <v>1320</v>
      </c>
      <c r="G101" s="16"/>
    </row>
    <row r="102" spans="1:7" ht="13.5" customHeight="1" x14ac:dyDescent="0.2">
      <c r="A102" s="9">
        <v>3225</v>
      </c>
      <c r="B102" s="10" t="s">
        <v>241</v>
      </c>
      <c r="C102" s="16">
        <v>0</v>
      </c>
      <c r="D102" s="16">
        <v>200</v>
      </c>
      <c r="E102" s="16">
        <v>200</v>
      </c>
      <c r="F102" s="16">
        <v>90</v>
      </c>
      <c r="G102" s="16"/>
    </row>
    <row r="103" spans="1:7" ht="13.5" customHeight="1" x14ac:dyDescent="0.2">
      <c r="A103" s="32">
        <v>323</v>
      </c>
      <c r="B103" s="54" t="s">
        <v>115</v>
      </c>
      <c r="C103" s="33">
        <f>C105+C104</f>
        <v>0</v>
      </c>
      <c r="D103" s="33">
        <f>D105+D104</f>
        <v>1100</v>
      </c>
      <c r="E103" s="33">
        <f>E105+E104</f>
        <v>1100</v>
      </c>
      <c r="F103" s="33">
        <f>F105+F104</f>
        <v>985.06</v>
      </c>
      <c r="G103" s="33" t="e">
        <f>F103/C103*100</f>
        <v>#DIV/0!</v>
      </c>
    </row>
    <row r="104" spans="1:7" s="5" customFormat="1" ht="13.5" customHeight="1" x14ac:dyDescent="0.2">
      <c r="A104" s="9">
        <v>3231</v>
      </c>
      <c r="B104" s="10" t="s">
        <v>240</v>
      </c>
      <c r="C104" s="16"/>
      <c r="D104" s="16">
        <v>100</v>
      </c>
      <c r="E104" s="16">
        <v>100</v>
      </c>
      <c r="F104" s="16">
        <v>35</v>
      </c>
      <c r="G104" s="16"/>
    </row>
    <row r="105" spans="1:7" ht="13.5" customHeight="1" x14ac:dyDescent="0.2">
      <c r="A105" s="3" t="s">
        <v>19</v>
      </c>
      <c r="B105" s="10" t="s">
        <v>20</v>
      </c>
      <c r="C105" s="16"/>
      <c r="D105" s="16">
        <v>1000</v>
      </c>
      <c r="E105" s="16">
        <v>1000</v>
      </c>
      <c r="F105" s="16">
        <v>950.06</v>
      </c>
      <c r="G105" s="16"/>
    </row>
    <row r="106" spans="1:7" s="35" customFormat="1" ht="13.5" customHeight="1" x14ac:dyDescent="0.2">
      <c r="A106" s="32">
        <v>324</v>
      </c>
      <c r="B106" s="54" t="s">
        <v>34</v>
      </c>
      <c r="C106" s="34">
        <v>0</v>
      </c>
      <c r="D106" s="34">
        <f>D107</f>
        <v>0</v>
      </c>
      <c r="E106" s="34"/>
      <c r="F106" s="34"/>
      <c r="G106" s="34" t="e">
        <f>F106/C106*100</f>
        <v>#DIV/0!</v>
      </c>
    </row>
    <row r="107" spans="1:7" ht="13.5" customHeight="1" x14ac:dyDescent="0.2">
      <c r="A107" s="3" t="s">
        <v>33</v>
      </c>
      <c r="B107" s="10" t="s">
        <v>34</v>
      </c>
      <c r="C107" s="16"/>
      <c r="D107" s="16">
        <v>0</v>
      </c>
      <c r="E107" s="16"/>
      <c r="F107" s="16"/>
      <c r="G107" s="16"/>
    </row>
    <row r="108" spans="1:7" s="35" customFormat="1" ht="13.5" customHeight="1" x14ac:dyDescent="0.2">
      <c r="A108" s="32">
        <v>329</v>
      </c>
      <c r="B108" s="54" t="s">
        <v>44</v>
      </c>
      <c r="C108" s="34">
        <f>SUM(C109:C111)</f>
        <v>2660.9264052027338</v>
      </c>
      <c r="D108" s="34">
        <f>SUM(D109:D111)</f>
        <v>500</v>
      </c>
      <c r="E108" s="34">
        <f>SUM(E109:E111)</f>
        <v>500</v>
      </c>
      <c r="F108" s="34">
        <f>SUM(F109:F111)</f>
        <v>1750.9</v>
      </c>
      <c r="G108" s="34">
        <f>F108/C108*100</f>
        <v>65.800391794999697</v>
      </c>
    </row>
    <row r="109" spans="1:7" ht="13.5" customHeight="1" x14ac:dyDescent="0.2">
      <c r="A109" s="3" t="s">
        <v>71</v>
      </c>
      <c r="B109" s="69" t="s">
        <v>72</v>
      </c>
      <c r="C109" s="16"/>
      <c r="D109" s="16">
        <v>0</v>
      </c>
      <c r="E109" s="16"/>
      <c r="F109" s="16">
        <v>165.9</v>
      </c>
      <c r="G109" s="16"/>
    </row>
    <row r="110" spans="1:7" ht="13.5" customHeight="1" x14ac:dyDescent="0.2">
      <c r="A110" s="3" t="s">
        <v>35</v>
      </c>
      <c r="B110" s="10" t="s">
        <v>36</v>
      </c>
      <c r="C110" s="16"/>
      <c r="D110" s="16">
        <v>0</v>
      </c>
      <c r="E110" s="16"/>
      <c r="F110" s="16"/>
      <c r="G110" s="16"/>
    </row>
    <row r="111" spans="1:7" ht="13.5" customHeight="1" x14ac:dyDescent="0.2">
      <c r="A111" s="3" t="s">
        <v>43</v>
      </c>
      <c r="B111" s="10" t="s">
        <v>44</v>
      </c>
      <c r="C111" s="16">
        <f>20048.75/7.5345</f>
        <v>2660.9264052027338</v>
      </c>
      <c r="D111" s="16">
        <v>500</v>
      </c>
      <c r="E111" s="16">
        <v>500</v>
      </c>
      <c r="F111" s="16">
        <v>1585</v>
      </c>
      <c r="G111" s="16"/>
    </row>
    <row r="112" spans="1:7" s="35" customFormat="1" ht="13.5" customHeight="1" x14ac:dyDescent="0.2">
      <c r="A112" s="32">
        <v>42</v>
      </c>
      <c r="B112" s="70" t="s">
        <v>117</v>
      </c>
      <c r="C112" s="34">
        <f>C116+C113</f>
        <v>238.75240560090251</v>
      </c>
      <c r="D112" s="34">
        <f>D116+D113+D115</f>
        <v>4594.32</v>
      </c>
      <c r="E112" s="34">
        <f>E116+E113</f>
        <v>2094.3200000000002</v>
      </c>
      <c r="F112" s="34">
        <f>F116+F113+F115</f>
        <v>3429.26</v>
      </c>
      <c r="G112" s="34">
        <f>D112/C112*100</f>
        <v>1924.3031241661477</v>
      </c>
    </row>
    <row r="113" spans="1:11" s="35" customFormat="1" ht="13.5" customHeight="1" x14ac:dyDescent="0.2">
      <c r="A113" s="32">
        <v>422</v>
      </c>
      <c r="B113" s="54" t="s">
        <v>118</v>
      </c>
      <c r="C113" s="67">
        <f>C114</f>
        <v>238.75240560090251</v>
      </c>
      <c r="D113" s="67">
        <f>D114</f>
        <v>2094.3200000000002</v>
      </c>
      <c r="E113" s="67">
        <f>E114</f>
        <v>2094.3200000000002</v>
      </c>
      <c r="F113" s="67">
        <f>F114</f>
        <v>1908.86</v>
      </c>
      <c r="G113" s="34">
        <f>D113/C113*100</f>
        <v>877.19325580361124</v>
      </c>
    </row>
    <row r="114" spans="1:11" s="35" customFormat="1" ht="13.5" customHeight="1" x14ac:dyDescent="0.2">
      <c r="A114" s="37">
        <v>4221</v>
      </c>
      <c r="B114" s="10" t="s">
        <v>229</v>
      </c>
      <c r="C114" s="16">
        <f>1798.88/7.5345</f>
        <v>238.75240560090251</v>
      </c>
      <c r="D114" s="16">
        <v>2094.3200000000002</v>
      </c>
      <c r="E114" s="16">
        <v>2094.3200000000002</v>
      </c>
      <c r="F114" s="16">
        <v>1908.86</v>
      </c>
      <c r="G114" s="16"/>
    </row>
    <row r="115" spans="1:11" s="35" customFormat="1" ht="13.5" customHeight="1" x14ac:dyDescent="0.2">
      <c r="A115" s="37">
        <v>4227</v>
      </c>
      <c r="B115" s="10" t="s">
        <v>228</v>
      </c>
      <c r="C115" s="16"/>
      <c r="D115" s="16">
        <v>2500</v>
      </c>
      <c r="E115" s="16">
        <v>2500</v>
      </c>
      <c r="F115" s="16">
        <v>1520.4</v>
      </c>
      <c r="G115" s="16"/>
    </row>
    <row r="116" spans="1:11" s="35" customFormat="1" ht="13.5" customHeight="1" x14ac:dyDescent="0.2">
      <c r="A116" s="32">
        <v>424</v>
      </c>
      <c r="B116" s="54" t="s">
        <v>119</v>
      </c>
      <c r="C116" s="34">
        <f>C117</f>
        <v>0</v>
      </c>
      <c r="D116" s="34">
        <f>D117</f>
        <v>0</v>
      </c>
      <c r="E116" s="34">
        <f>E117</f>
        <v>0</v>
      </c>
      <c r="F116" s="34">
        <f>F117</f>
        <v>0</v>
      </c>
      <c r="G116" s="34" t="e">
        <f>F116/C116*100</f>
        <v>#DIV/0!</v>
      </c>
    </row>
    <row r="117" spans="1:11" ht="13.5" customHeight="1" x14ac:dyDescent="0.2">
      <c r="A117" s="3" t="s">
        <v>69</v>
      </c>
      <c r="B117" s="10" t="s">
        <v>70</v>
      </c>
      <c r="C117" s="16"/>
      <c r="D117" s="16">
        <v>0</v>
      </c>
      <c r="E117" s="16"/>
      <c r="F117" s="16"/>
      <c r="G117" s="16"/>
    </row>
    <row r="118" spans="1:11" ht="13.5" customHeight="1" x14ac:dyDescent="0.2">
      <c r="A118" s="285" t="s">
        <v>188</v>
      </c>
      <c r="B118" s="286"/>
      <c r="C118" s="53">
        <f>C119+C127</f>
        <v>1194151.0797000465</v>
      </c>
      <c r="D118" s="53">
        <f>D119+D127</f>
        <v>1617891.2400000002</v>
      </c>
      <c r="E118" s="53">
        <f>E119+E127</f>
        <v>1612441.2400000002</v>
      </c>
      <c r="F118" s="53">
        <f>F119+F127</f>
        <v>1218360.92</v>
      </c>
      <c r="G118" s="53">
        <f>D118/C118*100</f>
        <v>135.48463569671529</v>
      </c>
    </row>
    <row r="119" spans="1:11" s="2" customFormat="1" ht="13.5" customHeight="1" x14ac:dyDescent="0.2">
      <c r="A119" s="32">
        <v>31</v>
      </c>
      <c r="B119" s="61" t="s">
        <v>64</v>
      </c>
      <c r="C119" s="33">
        <f>C120+C122+C124</f>
        <v>1188085.6287743049</v>
      </c>
      <c r="D119" s="33">
        <f>D120+D122+D124</f>
        <v>1575975.6400000001</v>
      </c>
      <c r="E119" s="33">
        <f>E120+E122+E124</f>
        <v>1575975.6400000001</v>
      </c>
      <c r="F119" s="33">
        <f>F120+F122+F124</f>
        <v>1204551.2</v>
      </c>
      <c r="G119" s="33">
        <f>D119/C119*100</f>
        <v>132.64832111687642</v>
      </c>
      <c r="K119" s="227">
        <f>1063081.03-C118</f>
        <v>-131070.04970004642</v>
      </c>
    </row>
    <row r="120" spans="1:11" s="2" customFormat="1" ht="13.5" customHeight="1" x14ac:dyDescent="0.2">
      <c r="A120" s="42">
        <v>311</v>
      </c>
      <c r="B120" s="62" t="s">
        <v>109</v>
      </c>
      <c r="C120" s="33">
        <f>C121</f>
        <v>985701.27413896075</v>
      </c>
      <c r="D120" s="48">
        <f>D121</f>
        <v>1300000</v>
      </c>
      <c r="E120" s="242">
        <f>E121</f>
        <v>1300000</v>
      </c>
      <c r="F120" s="48">
        <f>F121</f>
        <v>994176.11</v>
      </c>
      <c r="G120" s="48">
        <f>D120/C120*100</f>
        <v>131.88579888319495</v>
      </c>
    </row>
    <row r="121" spans="1:11" s="2" customFormat="1" ht="13.5" customHeight="1" x14ac:dyDescent="0.2">
      <c r="A121" s="7">
        <v>3111</v>
      </c>
      <c r="B121" s="64" t="s">
        <v>110</v>
      </c>
      <c r="C121" s="50">
        <f>7426766.25/7.5345</f>
        <v>985701.27413896075</v>
      </c>
      <c r="D121" s="50">
        <v>1300000</v>
      </c>
      <c r="E121" s="241">
        <v>1300000</v>
      </c>
      <c r="F121" s="50">
        <v>994176.11</v>
      </c>
      <c r="G121" s="50"/>
    </row>
    <row r="122" spans="1:11" s="2" customFormat="1" ht="13.5" customHeight="1" x14ac:dyDescent="0.2">
      <c r="A122" s="42">
        <v>312</v>
      </c>
      <c r="B122" s="62" t="s">
        <v>74</v>
      </c>
      <c r="C122" s="48">
        <f>C123</f>
        <v>44757.83794545092</v>
      </c>
      <c r="D122" s="48">
        <f>D123</f>
        <v>90774.85</v>
      </c>
      <c r="E122" s="48">
        <f>E123</f>
        <v>90774.85</v>
      </c>
      <c r="F122" s="48">
        <f>F123</f>
        <v>48945.24</v>
      </c>
      <c r="G122" s="48">
        <f>D122/C122*100</f>
        <v>202.81330414269073</v>
      </c>
    </row>
    <row r="123" spans="1:11" s="2" customFormat="1" ht="18.75" customHeight="1" x14ac:dyDescent="0.2">
      <c r="A123" s="7">
        <v>3121</v>
      </c>
      <c r="B123" s="64" t="s">
        <v>74</v>
      </c>
      <c r="C123" s="50">
        <f>337227.93/7.5345</f>
        <v>44757.83794545092</v>
      </c>
      <c r="D123" s="50">
        <v>90774.85</v>
      </c>
      <c r="E123" s="50">
        <v>90774.85</v>
      </c>
      <c r="F123" s="50">
        <v>48945.24</v>
      </c>
      <c r="G123" s="50"/>
    </row>
    <row r="124" spans="1:11" s="2" customFormat="1" ht="13.5" customHeight="1" x14ac:dyDescent="0.2">
      <c r="A124" s="42">
        <v>313</v>
      </c>
      <c r="B124" s="62" t="s">
        <v>111</v>
      </c>
      <c r="C124" s="48">
        <f>C125+C126</f>
        <v>157626.51668989315</v>
      </c>
      <c r="D124" s="48">
        <f>D125+D126</f>
        <v>185200.79</v>
      </c>
      <c r="E124" s="48">
        <f>E125+E126</f>
        <v>185200.79</v>
      </c>
      <c r="F124" s="48">
        <f>F125+F126</f>
        <v>161429.85</v>
      </c>
      <c r="G124" s="48">
        <f>D124/C124*100</f>
        <v>117.4934229907238</v>
      </c>
    </row>
    <row r="125" spans="1:11" s="2" customFormat="1" ht="13.5" customHeight="1" x14ac:dyDescent="0.2">
      <c r="A125" s="7">
        <v>3132</v>
      </c>
      <c r="B125" s="64" t="s">
        <v>112</v>
      </c>
      <c r="C125" s="50">
        <f>1187636.99/7.5345</f>
        <v>157626.51668989315</v>
      </c>
      <c r="D125" s="50">
        <v>185200.79</v>
      </c>
      <c r="E125" s="50">
        <v>185200.79</v>
      </c>
      <c r="F125" s="50">
        <v>161429.85</v>
      </c>
      <c r="G125" s="50"/>
    </row>
    <row r="126" spans="1:11" s="4" customFormat="1" ht="13.5" customHeight="1" x14ac:dyDescent="0.2">
      <c r="A126" s="9">
        <v>3133</v>
      </c>
      <c r="B126" s="63" t="s">
        <v>172</v>
      </c>
      <c r="C126" s="16"/>
      <c r="D126" s="16"/>
      <c r="E126" s="16"/>
      <c r="F126" s="16"/>
      <c r="G126" s="16"/>
    </row>
    <row r="127" spans="1:11" ht="13.5" customHeight="1" x14ac:dyDescent="0.2">
      <c r="A127" s="32">
        <v>32</v>
      </c>
      <c r="B127" s="61" t="s">
        <v>57</v>
      </c>
      <c r="C127" s="33">
        <f>C128+C131+C135+C142+C144</f>
        <v>6065.4509257415884</v>
      </c>
      <c r="D127" s="33">
        <f>D128+D131+D135+D142+D144+D159+D163+D156</f>
        <v>41915.599999999999</v>
      </c>
      <c r="E127" s="33">
        <f>E128+E131+E135+E142+E144+E159+E163+E156</f>
        <v>36465.599999999999</v>
      </c>
      <c r="F127" s="33">
        <f>F128+F131+F135+F142+F144+F159+F163+F156</f>
        <v>13809.720000000001</v>
      </c>
      <c r="G127" s="33">
        <f>F127/C127*100</f>
        <v>227.67837328288275</v>
      </c>
    </row>
    <row r="128" spans="1:11" ht="13.5" customHeight="1" x14ac:dyDescent="0.2">
      <c r="A128" s="32">
        <v>321</v>
      </c>
      <c r="B128" s="61" t="s">
        <v>113</v>
      </c>
      <c r="C128" s="33">
        <f>C129+C130</f>
        <v>415.8869201672307</v>
      </c>
      <c r="D128" s="33">
        <f>D129+D130</f>
        <v>4300</v>
      </c>
      <c r="E128" s="33">
        <f>E129+E130</f>
        <v>4300</v>
      </c>
      <c r="F128" s="33">
        <f>F129+F130</f>
        <v>2450.9</v>
      </c>
      <c r="G128" s="33">
        <f>F128/C128*100</f>
        <v>589.31884633796074</v>
      </c>
    </row>
    <row r="129" spans="1:7" ht="14.25" customHeight="1" x14ac:dyDescent="0.2">
      <c r="A129" s="3" t="s">
        <v>1</v>
      </c>
      <c r="B129" s="10" t="s">
        <v>2</v>
      </c>
      <c r="C129" s="16">
        <f>3133.5/7.5345</f>
        <v>415.8869201672307</v>
      </c>
      <c r="D129" s="16">
        <v>4000</v>
      </c>
      <c r="E129" s="16">
        <v>4000</v>
      </c>
      <c r="F129" s="16">
        <v>2450.9</v>
      </c>
      <c r="G129" s="16"/>
    </row>
    <row r="130" spans="1:7" ht="14.25" customHeight="1" x14ac:dyDescent="0.2">
      <c r="A130" s="9">
        <v>3213</v>
      </c>
      <c r="B130" s="10" t="s">
        <v>243</v>
      </c>
      <c r="C130" s="16"/>
      <c r="D130" s="16">
        <v>300</v>
      </c>
      <c r="E130" s="16">
        <v>300</v>
      </c>
      <c r="F130" s="16"/>
      <c r="G130" s="16"/>
    </row>
    <row r="131" spans="1:7" ht="13.5" customHeight="1" x14ac:dyDescent="0.2">
      <c r="A131" s="32">
        <v>322</v>
      </c>
      <c r="B131" s="54" t="s">
        <v>114</v>
      </c>
      <c r="C131" s="34">
        <f>SUM(C132:C134)</f>
        <v>865.26378658172405</v>
      </c>
      <c r="D131" s="34">
        <f>SUM(D132:D134)</f>
        <v>15400</v>
      </c>
      <c r="E131" s="34">
        <f>SUM(E132:E134)</f>
        <v>15400</v>
      </c>
      <c r="F131" s="34">
        <f>SUM(F132:F134)</f>
        <v>2212.44</v>
      </c>
      <c r="G131" s="34">
        <f>F131/C131*100</f>
        <v>255.69543465356105</v>
      </c>
    </row>
    <row r="132" spans="1:7" ht="13.5" customHeight="1" x14ac:dyDescent="0.2">
      <c r="A132" s="3" t="s">
        <v>9</v>
      </c>
      <c r="B132" s="10" t="s">
        <v>10</v>
      </c>
      <c r="C132" s="16">
        <f>200.5/7.5345</f>
        <v>26.610923087132523</v>
      </c>
      <c r="D132" s="16">
        <v>400</v>
      </c>
      <c r="E132" s="16">
        <v>400</v>
      </c>
      <c r="F132" s="16">
        <v>1315.87</v>
      </c>
      <c r="G132" s="16"/>
    </row>
    <row r="133" spans="1:7" ht="13.5" customHeight="1" x14ac:dyDescent="0.2">
      <c r="A133" s="9">
        <v>3222</v>
      </c>
      <c r="B133" s="10" t="s">
        <v>75</v>
      </c>
      <c r="C133" s="16">
        <f>6318.83/7.5345</f>
        <v>838.65286349459154</v>
      </c>
      <c r="D133" s="16">
        <v>5000</v>
      </c>
      <c r="E133" s="16">
        <v>5000</v>
      </c>
      <c r="F133" s="16">
        <v>150</v>
      </c>
      <c r="G133" s="16"/>
    </row>
    <row r="134" spans="1:7" ht="13.5" customHeight="1" x14ac:dyDescent="0.2">
      <c r="A134" s="9">
        <v>3225</v>
      </c>
      <c r="B134" s="10" t="s">
        <v>16</v>
      </c>
      <c r="C134" s="16"/>
      <c r="D134" s="16">
        <v>10000</v>
      </c>
      <c r="E134" s="16">
        <v>10000</v>
      </c>
      <c r="F134" s="16">
        <v>746.57</v>
      </c>
      <c r="G134" s="16"/>
    </row>
    <row r="135" spans="1:7" ht="13.5" customHeight="1" x14ac:dyDescent="0.2">
      <c r="A135" s="32">
        <v>323</v>
      </c>
      <c r="B135" s="54" t="s">
        <v>115</v>
      </c>
      <c r="C135" s="33">
        <f>SUM(C136:C141)</f>
        <v>1538.6807352843587</v>
      </c>
      <c r="D135" s="33">
        <f>SUM(D136:D141)</f>
        <v>5000</v>
      </c>
      <c r="E135" s="33">
        <f>SUM(E136:E141)</f>
        <v>5000</v>
      </c>
      <c r="F135" s="33">
        <f>SUM(F136:F141)</f>
        <v>3195</v>
      </c>
      <c r="G135" s="33">
        <f>F135/C135*100</f>
        <v>207.64541511007755</v>
      </c>
    </row>
    <row r="136" spans="1:7" s="5" customFormat="1" ht="13.5" customHeight="1" x14ac:dyDescent="0.2">
      <c r="A136" s="9">
        <v>3231</v>
      </c>
      <c r="B136" s="36" t="s">
        <v>18</v>
      </c>
      <c r="C136" s="16"/>
      <c r="D136" s="16">
        <v>5000</v>
      </c>
      <c r="E136" s="16">
        <v>5000</v>
      </c>
      <c r="F136" s="16">
        <v>3195</v>
      </c>
      <c r="G136" s="16"/>
    </row>
    <row r="137" spans="1:7" ht="13.5" customHeight="1" x14ac:dyDescent="0.2">
      <c r="A137" s="3" t="s">
        <v>21</v>
      </c>
      <c r="B137" s="10" t="s">
        <v>22</v>
      </c>
      <c r="C137" s="16"/>
      <c r="D137" s="16"/>
      <c r="E137" s="16"/>
      <c r="F137" s="16"/>
      <c r="G137" s="16"/>
    </row>
    <row r="138" spans="1:7" ht="13.5" customHeight="1" x14ac:dyDescent="0.2">
      <c r="A138" s="9">
        <v>3235</v>
      </c>
      <c r="B138" s="10" t="s">
        <v>76</v>
      </c>
      <c r="C138" s="16"/>
      <c r="D138" s="16"/>
      <c r="E138" s="16"/>
      <c r="F138" s="16"/>
      <c r="G138" s="16"/>
    </row>
    <row r="139" spans="1:7" ht="13.5" customHeight="1" x14ac:dyDescent="0.2">
      <c r="A139" s="9">
        <v>3236</v>
      </c>
      <c r="B139" s="10" t="s">
        <v>26</v>
      </c>
      <c r="C139" s="16">
        <f>11593.19/7.5345</f>
        <v>1538.6807352843587</v>
      </c>
      <c r="D139" s="16">
        <v>0</v>
      </c>
      <c r="E139" s="16"/>
      <c r="F139" s="16"/>
      <c r="G139" s="16"/>
    </row>
    <row r="140" spans="1:7" ht="13.5" customHeight="1" x14ac:dyDescent="0.2">
      <c r="A140" s="9">
        <v>3237</v>
      </c>
      <c r="B140" s="10" t="s">
        <v>28</v>
      </c>
      <c r="C140" s="16"/>
      <c r="D140" s="16"/>
      <c r="E140" s="16"/>
      <c r="F140" s="16"/>
      <c r="G140" s="16"/>
    </row>
    <row r="141" spans="1:7" ht="13.5" customHeight="1" x14ac:dyDescent="0.2">
      <c r="A141" s="9">
        <v>3239</v>
      </c>
      <c r="B141" s="36" t="s">
        <v>32</v>
      </c>
      <c r="C141" s="16"/>
      <c r="D141" s="16"/>
      <c r="E141" s="16"/>
      <c r="F141" s="16"/>
      <c r="G141" s="16"/>
    </row>
    <row r="142" spans="1:7" s="35" customFormat="1" ht="13.5" customHeight="1" x14ac:dyDescent="0.2">
      <c r="A142" s="32">
        <v>324</v>
      </c>
      <c r="B142" s="70" t="s">
        <v>34</v>
      </c>
      <c r="C142" s="34">
        <f>C143</f>
        <v>0</v>
      </c>
      <c r="D142" s="34">
        <f>D143</f>
        <v>0</v>
      </c>
      <c r="E142" s="34">
        <f>E143</f>
        <v>0</v>
      </c>
      <c r="F142" s="34">
        <f>F143</f>
        <v>0</v>
      </c>
      <c r="G142" s="34" t="e">
        <f>F142/C142*100</f>
        <v>#DIV/0!</v>
      </c>
    </row>
    <row r="143" spans="1:7" ht="13.5" customHeight="1" x14ac:dyDescent="0.2">
      <c r="A143" s="3" t="s">
        <v>33</v>
      </c>
      <c r="B143" s="10" t="s">
        <v>34</v>
      </c>
      <c r="C143" s="16"/>
      <c r="D143" s="16">
        <v>0</v>
      </c>
      <c r="E143" s="16"/>
      <c r="F143" s="16"/>
      <c r="G143" s="16"/>
    </row>
    <row r="144" spans="1:7" s="35" customFormat="1" ht="13.5" customHeight="1" x14ac:dyDescent="0.2">
      <c r="A144" s="32">
        <v>329</v>
      </c>
      <c r="B144" s="54" t="s">
        <v>44</v>
      </c>
      <c r="C144" s="34">
        <f>SUM(C145:C149)</f>
        <v>3245.6194837082749</v>
      </c>
      <c r="D144" s="34">
        <f>SUM(D145:D149)</f>
        <v>265.60000000000002</v>
      </c>
      <c r="E144" s="34">
        <f>SUM(E145:E149)</f>
        <v>265.60000000000002</v>
      </c>
      <c r="F144" s="34">
        <f>SUM(F145:F149)</f>
        <v>1680</v>
      </c>
      <c r="G144" s="34">
        <f>F144/C144*100</f>
        <v>51.762075265844778</v>
      </c>
    </row>
    <row r="145" spans="1:7" ht="13.5" customHeight="1" x14ac:dyDescent="0.2">
      <c r="A145" s="3" t="s">
        <v>35</v>
      </c>
      <c r="B145" s="10" t="s">
        <v>36</v>
      </c>
      <c r="C145" s="16"/>
      <c r="D145" s="16">
        <v>0</v>
      </c>
      <c r="E145" s="16"/>
      <c r="F145" s="16"/>
      <c r="G145" s="16"/>
    </row>
    <row r="146" spans="1:7" ht="13.5" customHeight="1" x14ac:dyDescent="0.2">
      <c r="A146" s="3" t="s">
        <v>37</v>
      </c>
      <c r="B146" s="10" t="s">
        <v>38</v>
      </c>
      <c r="C146" s="16"/>
      <c r="D146" s="16"/>
      <c r="E146" s="16"/>
      <c r="F146" s="16"/>
      <c r="G146" s="16"/>
    </row>
    <row r="147" spans="1:7" ht="13.5" customHeight="1" x14ac:dyDescent="0.2">
      <c r="A147" s="3" t="s">
        <v>41</v>
      </c>
      <c r="B147" s="10" t="s">
        <v>42</v>
      </c>
      <c r="C147" s="16"/>
      <c r="D147" s="16"/>
      <c r="E147" s="16"/>
      <c r="F147" s="16"/>
      <c r="G147" s="16"/>
    </row>
    <row r="148" spans="1:7" ht="13.5" customHeight="1" x14ac:dyDescent="0.2">
      <c r="A148" s="9">
        <v>3296</v>
      </c>
      <c r="B148" s="10" t="s">
        <v>173</v>
      </c>
      <c r="C148" s="16"/>
      <c r="D148" s="16"/>
      <c r="E148" s="16"/>
      <c r="F148" s="16"/>
      <c r="G148" s="16"/>
    </row>
    <row r="149" spans="1:7" ht="13.5" customHeight="1" x14ac:dyDescent="0.2">
      <c r="A149" s="9">
        <v>3299</v>
      </c>
      <c r="B149" s="10" t="s">
        <v>44</v>
      </c>
      <c r="C149" s="16">
        <f>24454.12/7.5345</f>
        <v>3245.6194837082749</v>
      </c>
      <c r="D149" s="16">
        <v>265.60000000000002</v>
      </c>
      <c r="E149" s="16">
        <v>265.60000000000002</v>
      </c>
      <c r="F149" s="16">
        <v>1680</v>
      </c>
      <c r="G149" s="16"/>
    </row>
    <row r="150" spans="1:7" ht="13.5" customHeight="1" x14ac:dyDescent="0.2">
      <c r="A150" s="32">
        <v>34</v>
      </c>
      <c r="B150" s="61" t="s">
        <v>58</v>
      </c>
      <c r="C150" s="33">
        <f>C151</f>
        <v>0</v>
      </c>
      <c r="D150" s="33">
        <f>D151</f>
        <v>0</v>
      </c>
      <c r="E150" s="33"/>
      <c r="F150" s="33"/>
      <c r="G150" s="33" t="e">
        <f>F150/C150*100</f>
        <v>#DIV/0!</v>
      </c>
    </row>
    <row r="151" spans="1:7" ht="13.5" customHeight="1" x14ac:dyDescent="0.2">
      <c r="A151" s="32">
        <v>343</v>
      </c>
      <c r="B151" s="61" t="s">
        <v>116</v>
      </c>
      <c r="C151" s="33">
        <v>0</v>
      </c>
      <c r="D151" s="33">
        <f>D152</f>
        <v>0</v>
      </c>
      <c r="E151" s="33"/>
      <c r="F151" s="33"/>
      <c r="G151" s="33" t="e">
        <f>F151/C151*100</f>
        <v>#DIV/0!</v>
      </c>
    </row>
    <row r="152" spans="1:7" ht="13.5" customHeight="1" x14ac:dyDescent="0.2">
      <c r="A152" s="9">
        <v>3433</v>
      </c>
      <c r="B152" s="10" t="s">
        <v>46</v>
      </c>
      <c r="C152" s="16"/>
      <c r="D152" s="16"/>
      <c r="E152" s="16"/>
      <c r="F152" s="16"/>
      <c r="G152" s="16"/>
    </row>
    <row r="153" spans="1:7" s="35" customFormat="1" ht="25.5" customHeight="1" x14ac:dyDescent="0.2">
      <c r="A153" s="46">
        <v>37</v>
      </c>
      <c r="B153" s="71" t="s">
        <v>120</v>
      </c>
      <c r="C153" s="52">
        <v>0</v>
      </c>
      <c r="D153" s="52">
        <f>D154</f>
        <v>0</v>
      </c>
      <c r="E153" s="52"/>
      <c r="F153" s="52"/>
      <c r="G153" s="52" t="e">
        <f>F153/C153*100</f>
        <v>#DIV/0!</v>
      </c>
    </row>
    <row r="154" spans="1:7" s="35" customFormat="1" ht="13.5" customHeight="1" x14ac:dyDescent="0.2">
      <c r="A154" s="32">
        <v>372</v>
      </c>
      <c r="B154" s="54" t="s">
        <v>121</v>
      </c>
      <c r="C154" s="34">
        <v>0</v>
      </c>
      <c r="D154" s="34">
        <f>D155</f>
        <v>0</v>
      </c>
      <c r="E154" s="34"/>
      <c r="F154" s="34"/>
      <c r="G154" s="34" t="e">
        <f>D154/C154*100</f>
        <v>#DIV/0!</v>
      </c>
    </row>
    <row r="155" spans="1:7" ht="13.5" customHeight="1" x14ac:dyDescent="0.2">
      <c r="A155" s="9">
        <v>3722</v>
      </c>
      <c r="B155" s="10" t="s">
        <v>122</v>
      </c>
      <c r="C155" s="16"/>
      <c r="D155" s="16"/>
      <c r="E155" s="16"/>
      <c r="F155" s="16"/>
      <c r="G155" s="16"/>
    </row>
    <row r="156" spans="1:7" s="6" customFormat="1" ht="13.5" customHeight="1" x14ac:dyDescent="0.2">
      <c r="A156" s="32">
        <v>38</v>
      </c>
      <c r="B156" s="54" t="s">
        <v>74</v>
      </c>
      <c r="C156" s="33">
        <f>C157</f>
        <v>0</v>
      </c>
      <c r="D156" s="33">
        <f>D157</f>
        <v>450</v>
      </c>
      <c r="E156" s="33"/>
      <c r="F156" s="33">
        <f>F157</f>
        <v>433.04</v>
      </c>
      <c r="G156" s="33"/>
    </row>
    <row r="157" spans="1:7" s="6" customFormat="1" ht="13.5" customHeight="1" x14ac:dyDescent="0.2">
      <c r="A157" s="32">
        <v>381</v>
      </c>
      <c r="B157" s="54" t="s">
        <v>244</v>
      </c>
      <c r="C157" s="33">
        <f>C158</f>
        <v>0</v>
      </c>
      <c r="D157" s="33">
        <f>D158</f>
        <v>450</v>
      </c>
      <c r="E157" s="33">
        <f>E158</f>
        <v>450</v>
      </c>
      <c r="F157" s="33">
        <f>F158</f>
        <v>433.04</v>
      </c>
      <c r="G157" s="33"/>
    </row>
    <row r="158" spans="1:7" ht="13.5" customHeight="1" x14ac:dyDescent="0.2">
      <c r="A158" s="9">
        <v>3812</v>
      </c>
      <c r="B158" s="10" t="s">
        <v>242</v>
      </c>
      <c r="C158" s="16">
        <v>0</v>
      </c>
      <c r="D158" s="16">
        <v>450</v>
      </c>
      <c r="E158" s="16">
        <v>450</v>
      </c>
      <c r="F158" s="16">
        <v>433.04</v>
      </c>
      <c r="G158" s="16"/>
    </row>
    <row r="159" spans="1:7" s="35" customFormat="1" ht="13.5" customHeight="1" x14ac:dyDescent="0.2">
      <c r="A159" s="32">
        <v>422</v>
      </c>
      <c r="B159" s="54" t="s">
        <v>118</v>
      </c>
      <c r="C159" s="34">
        <f>SUM(C160:C162)</f>
        <v>362.49917048244737</v>
      </c>
      <c r="D159" s="34">
        <f>SUM(D160:D162)</f>
        <v>15000</v>
      </c>
      <c r="E159" s="34">
        <f>SUM(E160:E162)</f>
        <v>10000</v>
      </c>
      <c r="F159" s="34">
        <f>SUM(F160:F162)</f>
        <v>3235.11</v>
      </c>
      <c r="G159" s="34">
        <f>F159/C159*100</f>
        <v>892.44618013729996</v>
      </c>
    </row>
    <row r="160" spans="1:7" ht="13.5" customHeight="1" x14ac:dyDescent="0.2">
      <c r="A160" s="3" t="s">
        <v>67</v>
      </c>
      <c r="B160" s="10" t="s">
        <v>68</v>
      </c>
      <c r="C160" s="16"/>
      <c r="D160" s="16">
        <v>5000</v>
      </c>
      <c r="E160" s="16">
        <v>5000</v>
      </c>
      <c r="F160" s="16"/>
      <c r="G160" s="16"/>
    </row>
    <row r="161" spans="1:7" ht="13.5" customHeight="1" x14ac:dyDescent="0.2">
      <c r="A161" s="9">
        <v>4221</v>
      </c>
      <c r="B161" s="36" t="s">
        <v>253</v>
      </c>
      <c r="C161" s="16"/>
      <c r="D161" s="16">
        <v>5000</v>
      </c>
      <c r="E161" s="16"/>
      <c r="F161" s="16"/>
      <c r="G161" s="16"/>
    </row>
    <row r="162" spans="1:7" ht="13.5" customHeight="1" x14ac:dyDescent="0.2">
      <c r="A162" s="37">
        <v>4227</v>
      </c>
      <c r="B162" s="10" t="s">
        <v>228</v>
      </c>
      <c r="C162" s="16">
        <f>2731.25/7.5345</f>
        <v>362.49917048244737</v>
      </c>
      <c r="D162" s="16">
        <v>5000</v>
      </c>
      <c r="E162" s="16">
        <v>5000</v>
      </c>
      <c r="F162" s="16">
        <v>3235.11</v>
      </c>
      <c r="G162" s="16"/>
    </row>
    <row r="163" spans="1:7" s="35" customFormat="1" ht="13.5" customHeight="1" x14ac:dyDescent="0.2">
      <c r="A163" s="32">
        <v>424</v>
      </c>
      <c r="B163" s="54" t="s">
        <v>119</v>
      </c>
      <c r="C163" s="34">
        <f>C164</f>
        <v>804.66387948768988</v>
      </c>
      <c r="D163" s="34">
        <f>D164</f>
        <v>1500</v>
      </c>
      <c r="E163" s="34">
        <f>E164</f>
        <v>1500</v>
      </c>
      <c r="F163" s="34">
        <f>F164</f>
        <v>603.23</v>
      </c>
      <c r="G163" s="34">
        <f>F163/C163*100</f>
        <v>74.966705400528483</v>
      </c>
    </row>
    <row r="164" spans="1:7" ht="13.5" customHeight="1" x14ac:dyDescent="0.2">
      <c r="A164" s="3" t="s">
        <v>69</v>
      </c>
      <c r="B164" s="10" t="s">
        <v>70</v>
      </c>
      <c r="C164" s="16">
        <f>6062.74/7.5345</f>
        <v>804.66387948768988</v>
      </c>
      <c r="D164" s="16">
        <v>1500</v>
      </c>
      <c r="E164" s="16">
        <v>1500</v>
      </c>
      <c r="F164" s="16">
        <v>603.23</v>
      </c>
      <c r="G164" s="16"/>
    </row>
    <row r="165" spans="1:7" ht="13.5" customHeight="1" x14ac:dyDescent="0.2">
      <c r="A165" s="285" t="s">
        <v>192</v>
      </c>
      <c r="B165" s="286"/>
      <c r="C165" s="53">
        <f>C166+C179</f>
        <v>696.79474417678671</v>
      </c>
      <c r="D165" s="53">
        <f>D166+D179</f>
        <v>1269.69</v>
      </c>
      <c r="E165" s="53">
        <f>E166+E179</f>
        <v>869.69</v>
      </c>
      <c r="F165" s="53">
        <f>F166+F179</f>
        <v>596.26</v>
      </c>
      <c r="G165" s="53">
        <f>F165/C165*100</f>
        <v>85.571828000000011</v>
      </c>
    </row>
    <row r="166" spans="1:7" s="6" customFormat="1" ht="13.5" customHeight="1" x14ac:dyDescent="0.2">
      <c r="A166" s="32">
        <v>32</v>
      </c>
      <c r="B166" s="61" t="s">
        <v>57</v>
      </c>
      <c r="C166" s="33">
        <f>C167+C169+C173+C176</f>
        <v>0</v>
      </c>
      <c r="D166" s="33">
        <f>D167+D169+D173+D176</f>
        <v>400</v>
      </c>
      <c r="E166" s="33"/>
      <c r="F166" s="33">
        <f>F167+F169+F173+F176</f>
        <v>110.25999999999999</v>
      </c>
      <c r="G166" s="33" t="e">
        <f>F166/C166*100</f>
        <v>#DIV/0!</v>
      </c>
    </row>
    <row r="167" spans="1:7" s="6" customFormat="1" ht="13.5" customHeight="1" x14ac:dyDescent="0.2">
      <c r="A167" s="32">
        <v>321</v>
      </c>
      <c r="B167" s="61" t="s">
        <v>113</v>
      </c>
      <c r="C167" s="33">
        <v>0</v>
      </c>
      <c r="D167" s="33">
        <f>D168</f>
        <v>0</v>
      </c>
      <c r="E167" s="33"/>
      <c r="F167" s="33"/>
      <c r="G167" s="33" t="e">
        <f>F167/C167*100</f>
        <v>#DIV/0!</v>
      </c>
    </row>
    <row r="168" spans="1:7" s="5" customFormat="1" ht="13.5" customHeight="1" x14ac:dyDescent="0.2">
      <c r="A168" s="3" t="s">
        <v>1</v>
      </c>
      <c r="B168" s="10" t="s">
        <v>2</v>
      </c>
      <c r="C168" s="16"/>
      <c r="D168" s="16">
        <v>0</v>
      </c>
      <c r="E168" s="16"/>
      <c r="F168" s="16"/>
      <c r="G168" s="16"/>
    </row>
    <row r="169" spans="1:7" s="6" customFormat="1" ht="13.5" customHeight="1" x14ac:dyDescent="0.2">
      <c r="A169" s="32">
        <v>322</v>
      </c>
      <c r="B169" s="54" t="s">
        <v>114</v>
      </c>
      <c r="C169" s="34"/>
      <c r="D169" s="34">
        <f>SUM(D170:D172)</f>
        <v>400</v>
      </c>
      <c r="E169" s="34">
        <f>SUM(E170:E172)</f>
        <v>400</v>
      </c>
      <c r="F169" s="34">
        <f>SUM(F170:F172)</f>
        <v>110.25999999999999</v>
      </c>
      <c r="G169" s="34" t="e">
        <f>F169/C169*100</f>
        <v>#DIV/0!</v>
      </c>
    </row>
    <row r="170" spans="1:7" ht="13.5" customHeight="1" x14ac:dyDescent="0.2">
      <c r="A170" s="3" t="s">
        <v>9</v>
      </c>
      <c r="B170" s="10" t="s">
        <v>10</v>
      </c>
      <c r="C170" s="16"/>
      <c r="D170" s="16">
        <v>200</v>
      </c>
      <c r="E170" s="16">
        <v>200</v>
      </c>
      <c r="F170" s="16">
        <v>95.46</v>
      </c>
      <c r="G170" s="16"/>
    </row>
    <row r="171" spans="1:7" ht="13.5" customHeight="1" x14ac:dyDescent="0.2">
      <c r="A171" s="9">
        <v>3222</v>
      </c>
      <c r="B171" s="10" t="s">
        <v>75</v>
      </c>
      <c r="C171" s="16"/>
      <c r="D171" s="16">
        <v>0</v>
      </c>
      <c r="E171" s="16"/>
      <c r="F171" s="16"/>
      <c r="G171" s="16"/>
    </row>
    <row r="172" spans="1:7" ht="13.5" customHeight="1" x14ac:dyDescent="0.2">
      <c r="A172" s="3" t="s">
        <v>15</v>
      </c>
      <c r="B172" s="10" t="s">
        <v>16</v>
      </c>
      <c r="C172" s="16"/>
      <c r="D172" s="16">
        <v>200</v>
      </c>
      <c r="E172" s="16">
        <v>200</v>
      </c>
      <c r="F172" s="16">
        <v>14.8</v>
      </c>
      <c r="G172" s="16"/>
    </row>
    <row r="173" spans="1:7" s="6" customFormat="1" ht="13.5" customHeight="1" x14ac:dyDescent="0.2">
      <c r="A173" s="32">
        <v>323</v>
      </c>
      <c r="B173" s="54" t="s">
        <v>115</v>
      </c>
      <c r="C173" s="34"/>
      <c r="D173" s="34">
        <f>SUM(D174:D175)</f>
        <v>0</v>
      </c>
      <c r="E173" s="34"/>
      <c r="F173" s="34"/>
      <c r="G173" s="34" t="e">
        <f>F173/C173*100</f>
        <v>#DIV/0!</v>
      </c>
    </row>
    <row r="174" spans="1:7" ht="13.5" customHeight="1" x14ac:dyDescent="0.2">
      <c r="A174" s="9">
        <v>3235</v>
      </c>
      <c r="B174" s="10" t="s">
        <v>76</v>
      </c>
      <c r="C174" s="16"/>
      <c r="D174" s="16">
        <v>0</v>
      </c>
      <c r="E174" s="16"/>
      <c r="F174" s="16"/>
      <c r="G174" s="16"/>
    </row>
    <row r="175" spans="1:7" ht="13.5" customHeight="1" x14ac:dyDescent="0.2">
      <c r="A175" s="9">
        <v>3239</v>
      </c>
      <c r="B175" s="10" t="s">
        <v>32</v>
      </c>
      <c r="C175" s="16"/>
      <c r="D175" s="16">
        <v>0</v>
      </c>
      <c r="E175" s="16"/>
      <c r="F175" s="16"/>
      <c r="G175" s="16"/>
    </row>
    <row r="176" spans="1:7" s="6" customFormat="1" ht="13.5" customHeight="1" x14ac:dyDescent="0.2">
      <c r="A176" s="32">
        <v>329</v>
      </c>
      <c r="B176" s="54" t="s">
        <v>44</v>
      </c>
      <c r="C176" s="33">
        <v>0</v>
      </c>
      <c r="D176" s="33">
        <f>SUM(D177:D178)</f>
        <v>0</v>
      </c>
      <c r="E176" s="33"/>
      <c r="F176" s="33"/>
      <c r="G176" s="33" t="e">
        <f>F176/C176*100</f>
        <v>#DIV/0!</v>
      </c>
    </row>
    <row r="177" spans="1:7" ht="13.5" customHeight="1" x14ac:dyDescent="0.2">
      <c r="A177" s="9">
        <v>3293</v>
      </c>
      <c r="B177" s="10" t="s">
        <v>38</v>
      </c>
      <c r="C177" s="16"/>
      <c r="D177" s="16">
        <v>0</v>
      </c>
      <c r="E177" s="16"/>
      <c r="F177" s="16"/>
      <c r="G177" s="16"/>
    </row>
    <row r="178" spans="1:7" ht="13.5" customHeight="1" x14ac:dyDescent="0.2">
      <c r="A178" s="9">
        <v>3299</v>
      </c>
      <c r="B178" s="10" t="s">
        <v>44</v>
      </c>
      <c r="C178" s="16"/>
      <c r="D178" s="16">
        <v>0</v>
      </c>
      <c r="E178" s="16"/>
      <c r="F178" s="16"/>
      <c r="G178" s="16"/>
    </row>
    <row r="179" spans="1:7" s="6" customFormat="1" ht="13.5" customHeight="1" x14ac:dyDescent="0.2">
      <c r="A179" s="32">
        <v>42</v>
      </c>
      <c r="B179" s="70" t="s">
        <v>123</v>
      </c>
      <c r="C179" s="33">
        <f>C180</f>
        <v>696.79474417678671</v>
      </c>
      <c r="D179" s="33">
        <f>D180</f>
        <v>869.69</v>
      </c>
      <c r="E179" s="33">
        <f>E180</f>
        <v>869.69</v>
      </c>
      <c r="F179" s="33">
        <f>F180</f>
        <v>486</v>
      </c>
      <c r="G179" s="33">
        <f>F179/C179*100</f>
        <v>69.74794285714286</v>
      </c>
    </row>
    <row r="180" spans="1:7" s="6" customFormat="1" ht="13.5" customHeight="1" x14ac:dyDescent="0.2">
      <c r="A180" s="32">
        <v>422</v>
      </c>
      <c r="B180" s="54" t="s">
        <v>118</v>
      </c>
      <c r="C180" s="33">
        <f>C181+C182</f>
        <v>696.79474417678671</v>
      </c>
      <c r="D180" s="33">
        <f>D181+D182</f>
        <v>869.69</v>
      </c>
      <c r="E180" s="33">
        <f>E181+E182</f>
        <v>869.69</v>
      </c>
      <c r="F180" s="33">
        <f>F181+F182</f>
        <v>486</v>
      </c>
      <c r="G180" s="33">
        <f>F180/C180*100</f>
        <v>69.74794285714286</v>
      </c>
    </row>
    <row r="181" spans="1:7" ht="13.5" customHeight="1" x14ac:dyDescent="0.2">
      <c r="A181" s="3" t="s">
        <v>67</v>
      </c>
      <c r="B181" s="10" t="s">
        <v>68</v>
      </c>
      <c r="C181" s="16"/>
      <c r="D181" s="16">
        <v>300</v>
      </c>
      <c r="E181" s="16">
        <v>300</v>
      </c>
      <c r="F181" s="16"/>
      <c r="G181" s="16"/>
    </row>
    <row r="182" spans="1:7" ht="13.5" customHeight="1" x14ac:dyDescent="0.2">
      <c r="A182" s="9">
        <v>4227</v>
      </c>
      <c r="B182" s="10" t="s">
        <v>228</v>
      </c>
      <c r="C182" s="16">
        <f>5250/7.5345</f>
        <v>696.79474417678671</v>
      </c>
      <c r="D182" s="16">
        <v>569.69000000000005</v>
      </c>
      <c r="E182" s="16">
        <v>569.69000000000005</v>
      </c>
      <c r="F182" s="16">
        <v>486</v>
      </c>
      <c r="G182" s="16"/>
    </row>
    <row r="183" spans="1:7" ht="13.5" customHeight="1" x14ac:dyDescent="0.2">
      <c r="A183" s="32">
        <v>424</v>
      </c>
      <c r="B183" s="54" t="s">
        <v>70</v>
      </c>
      <c r="C183" s="34">
        <v>0</v>
      </c>
      <c r="D183" s="33">
        <f>D184</f>
        <v>0</v>
      </c>
      <c r="E183" s="33">
        <f>E184</f>
        <v>0</v>
      </c>
      <c r="F183" s="33"/>
      <c r="G183" s="16"/>
    </row>
    <row r="184" spans="1:7" ht="13.5" customHeight="1" x14ac:dyDescent="0.2">
      <c r="A184" s="9">
        <v>4241</v>
      </c>
      <c r="B184" s="54" t="s">
        <v>230</v>
      </c>
      <c r="C184" s="16"/>
      <c r="D184" s="16">
        <v>0</v>
      </c>
      <c r="E184" s="16"/>
      <c r="F184" s="16"/>
      <c r="G184" s="16"/>
    </row>
    <row r="185" spans="1:7" ht="13.5" customHeight="1" x14ac:dyDescent="0.2">
      <c r="A185" s="285" t="s">
        <v>149</v>
      </c>
      <c r="B185" s="286"/>
      <c r="C185" s="53">
        <f>C186+C192</f>
        <v>2123.5649346340169</v>
      </c>
      <c r="D185" s="53">
        <f>D186+D192</f>
        <v>9863.130000000001</v>
      </c>
      <c r="E185" s="53">
        <f>E186+E192</f>
        <v>9863.130000000001</v>
      </c>
      <c r="F185" s="53">
        <f>F186+F192</f>
        <v>0</v>
      </c>
      <c r="G185" s="53">
        <f>F185/C185*100</f>
        <v>0</v>
      </c>
    </row>
    <row r="186" spans="1:7" ht="13.5" customHeight="1" x14ac:dyDescent="0.2">
      <c r="A186" s="32">
        <v>32</v>
      </c>
      <c r="B186" s="61" t="s">
        <v>57</v>
      </c>
      <c r="C186" s="33">
        <f>C187+C190</f>
        <v>0</v>
      </c>
      <c r="D186" s="33">
        <f>D187+D190</f>
        <v>2000</v>
      </c>
      <c r="E186" s="33">
        <f>E187+E190</f>
        <v>2000</v>
      </c>
      <c r="F186" s="33"/>
      <c r="G186" s="33" t="e">
        <f>F186/C186*100</f>
        <v>#DIV/0!</v>
      </c>
    </row>
    <row r="187" spans="1:7" ht="13.5" customHeight="1" x14ac:dyDescent="0.2">
      <c r="A187" s="32">
        <v>322</v>
      </c>
      <c r="B187" s="54" t="s">
        <v>114</v>
      </c>
      <c r="C187" s="33">
        <f>C189</f>
        <v>0</v>
      </c>
      <c r="D187" s="33">
        <f>D189</f>
        <v>2000</v>
      </c>
      <c r="E187" s="33">
        <f>E189</f>
        <v>2000</v>
      </c>
      <c r="F187" s="33"/>
      <c r="G187" s="33"/>
    </row>
    <row r="188" spans="1:7" s="5" customFormat="1" ht="13.5" customHeight="1" x14ac:dyDescent="0.2">
      <c r="A188" s="9">
        <v>3221</v>
      </c>
      <c r="B188" s="10" t="s">
        <v>10</v>
      </c>
      <c r="C188" s="16"/>
      <c r="D188" s="16"/>
      <c r="E188" s="16"/>
      <c r="F188" s="16">
        <v>0</v>
      </c>
      <c r="G188" s="16"/>
    </row>
    <row r="189" spans="1:7" s="5" customFormat="1" ht="13.5" customHeight="1" x14ac:dyDescent="0.2">
      <c r="A189" s="3" t="s">
        <v>13</v>
      </c>
      <c r="B189" s="10" t="s">
        <v>14</v>
      </c>
      <c r="C189" s="16"/>
      <c r="D189" s="16">
        <v>2000</v>
      </c>
      <c r="E189" s="16">
        <v>2000</v>
      </c>
      <c r="F189" s="16">
        <v>0</v>
      </c>
      <c r="G189" s="16"/>
    </row>
    <row r="190" spans="1:7" ht="13.5" customHeight="1" x14ac:dyDescent="0.2">
      <c r="A190" s="32">
        <v>323</v>
      </c>
      <c r="B190" s="54" t="s">
        <v>115</v>
      </c>
      <c r="C190" s="33">
        <f>C191</f>
        <v>0</v>
      </c>
      <c r="D190" s="33">
        <f>D191</f>
        <v>0</v>
      </c>
      <c r="E190" s="33"/>
      <c r="F190" s="33"/>
      <c r="G190" s="33" t="e">
        <f>F190/C190*100</f>
        <v>#DIV/0!</v>
      </c>
    </row>
    <row r="191" spans="1:7" s="5" customFormat="1" ht="13.5" customHeight="1" x14ac:dyDescent="0.2">
      <c r="A191" s="3" t="s">
        <v>19</v>
      </c>
      <c r="B191" s="10" t="s">
        <v>20</v>
      </c>
      <c r="C191" s="16"/>
      <c r="D191" s="16">
        <v>0</v>
      </c>
      <c r="E191" s="16"/>
      <c r="F191" s="16"/>
      <c r="G191" s="16"/>
    </row>
    <row r="192" spans="1:7" s="35" customFormat="1" ht="13.5" customHeight="1" x14ac:dyDescent="0.2">
      <c r="A192" s="32">
        <v>42</v>
      </c>
      <c r="B192" s="72" t="s">
        <v>117</v>
      </c>
      <c r="C192" s="34">
        <f>C193</f>
        <v>2123.5649346340169</v>
      </c>
      <c r="D192" s="34">
        <f>D193</f>
        <v>7863.13</v>
      </c>
      <c r="E192" s="34">
        <f>E193</f>
        <v>7863.13</v>
      </c>
      <c r="F192" s="34">
        <f>F193</f>
        <v>0</v>
      </c>
      <c r="G192" s="34">
        <f>F192/C192*100</f>
        <v>0</v>
      </c>
    </row>
    <row r="193" spans="1:7" s="35" customFormat="1" ht="13.5" customHeight="1" x14ac:dyDescent="0.2">
      <c r="A193" s="32">
        <v>422</v>
      </c>
      <c r="B193" s="54" t="s">
        <v>118</v>
      </c>
      <c r="C193" s="34">
        <f>SUM(C194:C195)</f>
        <v>2123.5649346340169</v>
      </c>
      <c r="D193" s="34">
        <f>SUM(D194:D195)</f>
        <v>7863.13</v>
      </c>
      <c r="E193" s="34">
        <f>SUM(E194:E195)</f>
        <v>7863.13</v>
      </c>
      <c r="F193" s="34">
        <f>SUM(F194:F195)</f>
        <v>0</v>
      </c>
      <c r="G193" s="34">
        <f>F193/C193*100</f>
        <v>0</v>
      </c>
    </row>
    <row r="194" spans="1:7" s="5" customFormat="1" ht="13.5" customHeight="1" x14ac:dyDescent="0.2">
      <c r="A194" s="3" t="s">
        <v>67</v>
      </c>
      <c r="B194" s="10" t="s">
        <v>68</v>
      </c>
      <c r="C194" s="16"/>
      <c r="D194" s="16">
        <v>1153.2</v>
      </c>
      <c r="E194" s="16">
        <v>1153.2</v>
      </c>
      <c r="F194" s="16"/>
      <c r="G194" s="16"/>
    </row>
    <row r="195" spans="1:7" s="5" customFormat="1" ht="13.5" customHeight="1" x14ac:dyDescent="0.2">
      <c r="A195" s="38" t="s">
        <v>77</v>
      </c>
      <c r="B195" s="39" t="s">
        <v>78</v>
      </c>
      <c r="C195" s="231">
        <f>16000/7.5345</f>
        <v>2123.5649346340169</v>
      </c>
      <c r="D195" s="40">
        <v>6709.93</v>
      </c>
      <c r="E195" s="40">
        <v>6709.93</v>
      </c>
      <c r="F195" s="40">
        <v>0</v>
      </c>
      <c r="G195" s="40"/>
    </row>
    <row r="196" spans="1:7" x14ac:dyDescent="0.2">
      <c r="A196" s="274" t="s">
        <v>231</v>
      </c>
      <c r="B196" s="275"/>
      <c r="C196" s="31">
        <f>C197</f>
        <v>4602.7831972924541</v>
      </c>
      <c r="D196" s="31">
        <f>D197</f>
        <v>26000</v>
      </c>
      <c r="E196" s="31">
        <f>E197</f>
        <v>16000</v>
      </c>
      <c r="F196" s="31">
        <f>F197</f>
        <v>0</v>
      </c>
      <c r="G196" s="31">
        <f>F196/C196*100</f>
        <v>0</v>
      </c>
    </row>
    <row r="197" spans="1:7" x14ac:dyDescent="0.2">
      <c r="A197" s="276" t="s">
        <v>188</v>
      </c>
      <c r="B197" s="277"/>
      <c r="C197" s="49">
        <f>C198+C205</f>
        <v>4602.7831972924541</v>
      </c>
      <c r="D197" s="49">
        <f>D198+D205</f>
        <v>26000</v>
      </c>
      <c r="E197" s="49">
        <f>E198+E205</f>
        <v>16000</v>
      </c>
      <c r="F197" s="49">
        <f>F198+F205</f>
        <v>0</v>
      </c>
      <c r="G197" s="49">
        <f>F197/C197*100</f>
        <v>0</v>
      </c>
    </row>
    <row r="198" spans="1:7" x14ac:dyDescent="0.2">
      <c r="A198" s="42">
        <v>31</v>
      </c>
      <c r="B198" s="62" t="s">
        <v>64</v>
      </c>
      <c r="C198" s="48">
        <f>C199+C201+C203</f>
        <v>1655.3016125821223</v>
      </c>
      <c r="D198" s="48">
        <f>D199+D201+D203</f>
        <v>10000</v>
      </c>
      <c r="E198" s="48"/>
      <c r="F198" s="48"/>
      <c r="G198" s="48">
        <f>F198/C198*100</f>
        <v>0</v>
      </c>
    </row>
    <row r="199" spans="1:7" x14ac:dyDescent="0.2">
      <c r="A199" s="42">
        <v>311</v>
      </c>
      <c r="B199" s="62" t="s">
        <v>109</v>
      </c>
      <c r="C199" s="48">
        <f>C200</f>
        <v>0</v>
      </c>
      <c r="D199" s="48">
        <f>D200</f>
        <v>0</v>
      </c>
      <c r="E199" s="48"/>
      <c r="F199" s="48"/>
      <c r="G199" s="48" t="e">
        <f>F199/C199*100</f>
        <v>#DIV/0!</v>
      </c>
    </row>
    <row r="200" spans="1:7" x14ac:dyDescent="0.2">
      <c r="A200" s="7">
        <v>3111</v>
      </c>
      <c r="B200" s="64" t="s">
        <v>110</v>
      </c>
      <c r="C200" s="50"/>
      <c r="D200" s="50"/>
      <c r="E200" s="50"/>
      <c r="F200" s="50"/>
      <c r="G200" s="50"/>
    </row>
    <row r="201" spans="1:7" x14ac:dyDescent="0.2">
      <c r="A201" s="42">
        <v>312</v>
      </c>
      <c r="B201" s="62" t="s">
        <v>74</v>
      </c>
      <c r="C201" s="48">
        <f>C202</f>
        <v>1655.3016125821223</v>
      </c>
      <c r="D201" s="48">
        <f>D202</f>
        <v>10000</v>
      </c>
      <c r="E201" s="48">
        <f>E202</f>
        <v>10000</v>
      </c>
      <c r="F201" s="48">
        <f>F202</f>
        <v>0</v>
      </c>
      <c r="G201" s="48">
        <f>F201/C201*100</f>
        <v>0</v>
      </c>
    </row>
    <row r="202" spans="1:7" s="5" customFormat="1" x14ac:dyDescent="0.2">
      <c r="A202" s="7">
        <v>3121</v>
      </c>
      <c r="B202" s="64" t="s">
        <v>74</v>
      </c>
      <c r="C202" s="50">
        <f>12471.87/7.5345</f>
        <v>1655.3016125821223</v>
      </c>
      <c r="D202" s="50">
        <v>10000</v>
      </c>
      <c r="E202" s="50">
        <v>10000</v>
      </c>
      <c r="F202" s="50">
        <v>0</v>
      </c>
      <c r="G202" s="50"/>
    </row>
    <row r="203" spans="1:7" x14ac:dyDescent="0.2">
      <c r="A203" s="42">
        <v>313</v>
      </c>
      <c r="B203" s="62" t="s">
        <v>111</v>
      </c>
      <c r="C203" s="48">
        <v>0</v>
      </c>
      <c r="D203" s="48">
        <f>D204</f>
        <v>0</v>
      </c>
      <c r="E203" s="48"/>
      <c r="F203" s="48"/>
      <c r="G203" s="48" t="e">
        <f>F203/C203*100</f>
        <v>#DIV/0!</v>
      </c>
    </row>
    <row r="204" spans="1:7" x14ac:dyDescent="0.2">
      <c r="A204" s="7">
        <v>3132</v>
      </c>
      <c r="B204" s="64" t="s">
        <v>112</v>
      </c>
      <c r="C204" s="50"/>
      <c r="D204" s="50"/>
      <c r="E204" s="50"/>
      <c r="F204" s="50"/>
      <c r="G204" s="50"/>
    </row>
    <row r="205" spans="1:7" x14ac:dyDescent="0.2">
      <c r="A205" s="42">
        <v>32</v>
      </c>
      <c r="B205" s="62" t="s">
        <v>57</v>
      </c>
      <c r="C205" s="48">
        <f>C206</f>
        <v>2947.4815847103323</v>
      </c>
      <c r="D205" s="48">
        <f>D206</f>
        <v>16000</v>
      </c>
      <c r="E205" s="48">
        <f>E206</f>
        <v>16000</v>
      </c>
      <c r="F205" s="48">
        <f>F206</f>
        <v>0</v>
      </c>
      <c r="G205" s="48">
        <f>F205/C205*100</f>
        <v>0</v>
      </c>
    </row>
    <row r="206" spans="1:7" x14ac:dyDescent="0.2">
      <c r="A206" s="42">
        <v>321</v>
      </c>
      <c r="B206" s="62" t="s">
        <v>113</v>
      </c>
      <c r="C206" s="48">
        <f>SUM(C207:C208)</f>
        <v>2947.4815847103323</v>
      </c>
      <c r="D206" s="48">
        <f>SUM(D207:D208)</f>
        <v>16000</v>
      </c>
      <c r="E206" s="48">
        <f>SUM(E207:E208)</f>
        <v>16000</v>
      </c>
      <c r="F206" s="48">
        <f>SUM(F207:F208)</f>
        <v>0</v>
      </c>
      <c r="G206" s="48">
        <f>D206/C206*100</f>
        <v>542.83630075919268</v>
      </c>
    </row>
    <row r="207" spans="1:7" x14ac:dyDescent="0.2">
      <c r="A207" s="7">
        <v>3211</v>
      </c>
      <c r="B207" s="64" t="s">
        <v>2</v>
      </c>
      <c r="C207" s="50">
        <f>22207.8/7.5345</f>
        <v>2947.4815847103323</v>
      </c>
      <c r="D207" s="50">
        <v>16000</v>
      </c>
      <c r="E207" s="50">
        <v>16000</v>
      </c>
      <c r="F207" s="50">
        <v>0</v>
      </c>
      <c r="G207" s="50"/>
    </row>
    <row r="208" spans="1:7" x14ac:dyDescent="0.2">
      <c r="A208" s="3" t="s">
        <v>3</v>
      </c>
      <c r="B208" s="10" t="s">
        <v>4</v>
      </c>
      <c r="C208" s="16"/>
      <c r="D208" s="16"/>
      <c r="E208" s="16"/>
      <c r="F208" s="16"/>
      <c r="G208" s="16"/>
    </row>
    <row r="209" spans="1:7" x14ac:dyDescent="0.2">
      <c r="A209" s="274" t="s">
        <v>168</v>
      </c>
      <c r="B209" s="275"/>
      <c r="C209" s="31">
        <f>C210</f>
        <v>19095.86170283363</v>
      </c>
      <c r="D209" s="31">
        <f>D210</f>
        <v>24917.690000000002</v>
      </c>
      <c r="E209" s="31">
        <f>E210</f>
        <v>11319.04</v>
      </c>
      <c r="F209" s="31">
        <f>F210</f>
        <v>10944.789999999999</v>
      </c>
      <c r="G209" s="31">
        <f>D209/C209*100</f>
        <v>130.4873819666513</v>
      </c>
    </row>
    <row r="210" spans="1:7" x14ac:dyDescent="0.2">
      <c r="A210" s="276" t="s">
        <v>188</v>
      </c>
      <c r="B210" s="277"/>
      <c r="C210" s="49">
        <f>C211+C218</f>
        <v>19095.86170283363</v>
      </c>
      <c r="D210" s="49">
        <f>D211+D218</f>
        <v>24917.690000000002</v>
      </c>
      <c r="E210" s="49">
        <f>E212+E215+E217+E221</f>
        <v>11319.04</v>
      </c>
      <c r="F210" s="49">
        <f>F212+F215+F217+F221+F218</f>
        <v>10944.789999999999</v>
      </c>
      <c r="G210" s="49">
        <f>D210/C210*100</f>
        <v>130.4873819666513</v>
      </c>
    </row>
    <row r="211" spans="1:7" x14ac:dyDescent="0.2">
      <c r="A211" s="42">
        <v>31</v>
      </c>
      <c r="B211" s="62" t="s">
        <v>64</v>
      </c>
      <c r="C211" s="48">
        <f>C212+C214+C216</f>
        <v>18744.17811400889</v>
      </c>
      <c r="D211" s="48">
        <f>D212+D214+D216</f>
        <v>23850.280000000002</v>
      </c>
      <c r="E211" s="48"/>
      <c r="F211" s="48"/>
      <c r="G211" s="48">
        <f>F211/C211*100</f>
        <v>0</v>
      </c>
    </row>
    <row r="212" spans="1:7" x14ac:dyDescent="0.2">
      <c r="A212" s="42">
        <v>311</v>
      </c>
      <c r="B212" s="62" t="s">
        <v>109</v>
      </c>
      <c r="C212" s="48">
        <f>C213</f>
        <v>15447.845245205386</v>
      </c>
      <c r="D212" s="48">
        <f>D213</f>
        <v>18764.150000000001</v>
      </c>
      <c r="E212" s="48">
        <f>E213</f>
        <v>8204.76</v>
      </c>
      <c r="F212" s="48">
        <f>F213</f>
        <v>7897.96</v>
      </c>
      <c r="G212" s="48">
        <f>D212/C212*100</f>
        <v>121.46774972272532</v>
      </c>
    </row>
    <row r="213" spans="1:7" x14ac:dyDescent="0.2">
      <c r="A213" s="7">
        <v>3111</v>
      </c>
      <c r="B213" s="64" t="s">
        <v>110</v>
      </c>
      <c r="C213" s="50">
        <f>116391.79/7.5345</f>
        <v>15447.845245205386</v>
      </c>
      <c r="D213" s="50">
        <f>8204.76+426.7+10132.69</f>
        <v>18764.150000000001</v>
      </c>
      <c r="E213" s="50">
        <v>8204.76</v>
      </c>
      <c r="F213" s="50">
        <v>7897.96</v>
      </c>
      <c r="G213" s="50"/>
    </row>
    <row r="214" spans="1:7" x14ac:dyDescent="0.2">
      <c r="A214" s="42">
        <v>312</v>
      </c>
      <c r="B214" s="62" t="s">
        <v>74</v>
      </c>
      <c r="C214" s="48">
        <f>C215</f>
        <v>829.51755259141282</v>
      </c>
      <c r="D214" s="48">
        <f>D215</f>
        <v>2029.5</v>
      </c>
      <c r="E214" s="48">
        <f>E215</f>
        <v>1200</v>
      </c>
      <c r="F214" s="48">
        <f>F215</f>
        <v>1200</v>
      </c>
      <c r="G214" s="48">
        <f>D214/C214*100</f>
        <v>244.66028400000002</v>
      </c>
    </row>
    <row r="215" spans="1:7" s="5" customFormat="1" x14ac:dyDescent="0.2">
      <c r="A215" s="7">
        <v>3121</v>
      </c>
      <c r="B215" s="64" t="s">
        <v>74</v>
      </c>
      <c r="C215" s="50">
        <f>6250/7.5345</f>
        <v>829.51755259141282</v>
      </c>
      <c r="D215" s="50">
        <f>1200+829.5</f>
        <v>2029.5</v>
      </c>
      <c r="E215" s="50">
        <v>1200</v>
      </c>
      <c r="F215" s="50">
        <v>1200</v>
      </c>
      <c r="G215" s="50"/>
    </row>
    <row r="216" spans="1:7" x14ac:dyDescent="0.2">
      <c r="A216" s="42">
        <v>313</v>
      </c>
      <c r="B216" s="62" t="s">
        <v>111</v>
      </c>
      <c r="C216" s="48">
        <f>C217</f>
        <v>2466.8153162120911</v>
      </c>
      <c r="D216" s="48">
        <f>D217</f>
        <v>3056.63</v>
      </c>
      <c r="E216" s="48"/>
      <c r="F216" s="48"/>
      <c r="G216" s="48">
        <f>D216/C216*100</f>
        <v>123.90996520540487</v>
      </c>
    </row>
    <row r="217" spans="1:7" x14ac:dyDescent="0.2">
      <c r="A217" s="7">
        <v>3132</v>
      </c>
      <c r="B217" s="64" t="s">
        <v>112</v>
      </c>
      <c r="C217" s="50">
        <f>18586.22/7.5345</f>
        <v>2466.8153162120911</v>
      </c>
      <c r="D217" s="50">
        <f>1314.28+70.38+1671.97</f>
        <v>3056.63</v>
      </c>
      <c r="E217" s="50">
        <v>1314.28</v>
      </c>
      <c r="F217" s="50">
        <v>1303.1600000000001</v>
      </c>
      <c r="G217" s="50"/>
    </row>
    <row r="218" spans="1:7" x14ac:dyDescent="0.2">
      <c r="A218" s="42">
        <v>32</v>
      </c>
      <c r="B218" s="62" t="s">
        <v>57</v>
      </c>
      <c r="C218" s="48">
        <f>C219</f>
        <v>351.68358882473956</v>
      </c>
      <c r="D218" s="48">
        <f>D219</f>
        <v>1067.4100000000001</v>
      </c>
      <c r="E218" s="48"/>
      <c r="F218" s="48"/>
      <c r="G218" s="48">
        <f>D218/C218*100</f>
        <v>303.51430488044201</v>
      </c>
    </row>
    <row r="219" spans="1:7" x14ac:dyDescent="0.2">
      <c r="A219" s="42">
        <v>321</v>
      </c>
      <c r="B219" s="62" t="s">
        <v>113</v>
      </c>
      <c r="C219" s="48">
        <f>SUM(C220:C221)</f>
        <v>351.68358882473956</v>
      </c>
      <c r="D219" s="48">
        <f>SUM(D220:D221)</f>
        <v>1067.4100000000001</v>
      </c>
      <c r="E219" s="48">
        <f>SUM(E220:E221)</f>
        <v>600</v>
      </c>
      <c r="F219" s="48">
        <f>SUM(F220:F221)</f>
        <v>543.66999999999996</v>
      </c>
      <c r="G219" s="48">
        <f>D219/C219*100</f>
        <v>303.51430488044201</v>
      </c>
    </row>
    <row r="220" spans="1:7" x14ac:dyDescent="0.2">
      <c r="A220" s="7">
        <v>3211</v>
      </c>
      <c r="B220" s="64" t="s">
        <v>2</v>
      </c>
      <c r="C220" s="50"/>
      <c r="D220" s="50"/>
      <c r="E220" s="50"/>
      <c r="F220" s="50"/>
      <c r="G220" s="50"/>
    </row>
    <row r="221" spans="1:7" x14ac:dyDescent="0.2">
      <c r="A221" s="3" t="s">
        <v>3</v>
      </c>
      <c r="B221" s="10" t="s">
        <v>4</v>
      </c>
      <c r="C221" s="16">
        <f>2649.76/7.5345</f>
        <v>351.68358882473956</v>
      </c>
      <c r="D221" s="16">
        <f>600+467.41</f>
        <v>1067.4100000000001</v>
      </c>
      <c r="E221" s="16">
        <v>600</v>
      </c>
      <c r="F221" s="16">
        <v>543.66999999999996</v>
      </c>
      <c r="G221" s="16"/>
    </row>
    <row r="222" spans="1:7" x14ac:dyDescent="0.2">
      <c r="C222" t="s">
        <v>254</v>
      </c>
    </row>
  </sheetData>
  <mergeCells count="23">
    <mergeCell ref="A17:B17"/>
    <mergeCell ref="A16:B16"/>
    <mergeCell ref="A165:B165"/>
    <mergeCell ref="A118:B118"/>
    <mergeCell ref="A98:B98"/>
    <mergeCell ref="A59:B59"/>
    <mergeCell ref="A60:B60"/>
    <mergeCell ref="A209:B209"/>
    <mergeCell ref="A210:B210"/>
    <mergeCell ref="A11:B11"/>
    <mergeCell ref="A12:B12"/>
    <mergeCell ref="A1:G1"/>
    <mergeCell ref="A2:G2"/>
    <mergeCell ref="A5:G5"/>
    <mergeCell ref="A6:G6"/>
    <mergeCell ref="A10:B10"/>
    <mergeCell ref="A4:G4"/>
    <mergeCell ref="A196:B196"/>
    <mergeCell ref="A197:B197"/>
    <mergeCell ref="A185:B185"/>
    <mergeCell ref="A13:B13"/>
    <mergeCell ref="A14:B14"/>
    <mergeCell ref="A15:B15"/>
  </mergeCells>
  <pageMargins left="0.59055118110236227" right="0" top="0.74803149606299213" bottom="0.74803149606299213" header="0.31496062992125984" footer="0.31496062992125984"/>
  <pageSetup paperSize="9" orientation="landscape" horizontalDpi="4294967293" verticalDpi="360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9"/>
  <sheetViews>
    <sheetView tabSelected="1" workbookViewId="0">
      <selection activeCell="D12" sqref="D12"/>
    </sheetView>
  </sheetViews>
  <sheetFormatPr defaultColWidth="9.140625" defaultRowHeight="12.75" x14ac:dyDescent="0.2"/>
  <cols>
    <col min="1" max="1" width="6.140625" customWidth="1"/>
    <col min="2" max="2" width="0.85546875" customWidth="1"/>
    <col min="3" max="3" width="41.7109375" customWidth="1"/>
    <col min="4" max="6" width="14.140625" customWidth="1"/>
    <col min="7" max="7" width="14.140625" style="148" customWidth="1"/>
    <col min="12" max="12" width="10.140625" bestFit="1" customWidth="1"/>
  </cols>
  <sheetData>
    <row r="1" spans="1:10" ht="13.35" customHeight="1" x14ac:dyDescent="0.2">
      <c r="A1" s="4" t="s">
        <v>92</v>
      </c>
      <c r="B1" s="4"/>
      <c r="C1" s="4"/>
      <c r="D1" s="4"/>
      <c r="E1" s="4"/>
      <c r="F1" s="4"/>
      <c r="G1" s="4"/>
    </row>
    <row r="2" spans="1:10" ht="13.35" customHeight="1" x14ac:dyDescent="0.2">
      <c r="A2" s="254" t="s">
        <v>223</v>
      </c>
      <c r="B2" s="255"/>
      <c r="C2" s="255"/>
      <c r="D2" s="255"/>
      <c r="E2" s="255"/>
      <c r="F2" s="255"/>
      <c r="G2" s="255"/>
    </row>
    <row r="3" spans="1:10" ht="13.35" customHeight="1" x14ac:dyDescent="0.2">
      <c r="A3" s="256" t="s">
        <v>224</v>
      </c>
      <c r="B3" s="256"/>
      <c r="C3" s="256"/>
      <c r="D3" s="256"/>
      <c r="E3" s="5"/>
      <c r="F3" s="5"/>
      <c r="G3" s="5"/>
    </row>
    <row r="4" spans="1:10" ht="13.35" customHeight="1" x14ac:dyDescent="0.2">
      <c r="A4" s="254" t="s">
        <v>225</v>
      </c>
      <c r="B4" s="255"/>
      <c r="C4" s="255"/>
      <c r="D4" s="255"/>
      <c r="E4" s="255"/>
      <c r="F4" s="255"/>
      <c r="G4" s="255"/>
    </row>
    <row r="5" spans="1:10" ht="13.35" customHeight="1" x14ac:dyDescent="0.2">
      <c r="A5" s="151"/>
      <c r="B5" s="151"/>
      <c r="C5" s="151"/>
    </row>
    <row r="6" spans="1:10" ht="13.35" customHeight="1" x14ac:dyDescent="0.2"/>
    <row r="7" spans="1:10" ht="13.35" customHeight="1" x14ac:dyDescent="0.2">
      <c r="A7" s="248" t="s">
        <v>186</v>
      </c>
      <c r="B7" s="248"/>
      <c r="C7" s="248"/>
      <c r="D7" s="248"/>
      <c r="E7" s="248"/>
      <c r="F7" s="248"/>
      <c r="G7" s="248"/>
    </row>
    <row r="8" spans="1:10" ht="13.35" customHeight="1" x14ac:dyDescent="0.2"/>
    <row r="9" spans="1:10" ht="7.15" customHeight="1" x14ac:dyDescent="0.2"/>
    <row r="10" spans="1:10" s="1" customFormat="1" ht="30.75" customHeight="1" x14ac:dyDescent="0.2">
      <c r="A10" s="332" t="s">
        <v>108</v>
      </c>
      <c r="B10" s="333"/>
      <c r="C10" s="58" t="s">
        <v>0</v>
      </c>
      <c r="D10" s="57" t="s">
        <v>250</v>
      </c>
      <c r="E10" s="57" t="s">
        <v>249</v>
      </c>
      <c r="F10" s="57" t="s">
        <v>251</v>
      </c>
      <c r="G10" s="149" t="s">
        <v>90</v>
      </c>
    </row>
    <row r="11" spans="1:10" s="6" customFormat="1" ht="9" customHeight="1" x14ac:dyDescent="0.2">
      <c r="A11" s="217"/>
      <c r="B11" s="218"/>
      <c r="C11" s="59">
        <v>1</v>
      </c>
      <c r="D11" s="59">
        <v>2</v>
      </c>
      <c r="E11" s="59">
        <v>3</v>
      </c>
      <c r="F11" s="59"/>
      <c r="G11" s="150" t="s">
        <v>221</v>
      </c>
    </row>
    <row r="12" spans="1:10" s="2" customFormat="1" ht="12.75" customHeight="1" x14ac:dyDescent="0.2">
      <c r="A12" s="321" t="s">
        <v>137</v>
      </c>
      <c r="B12" s="322"/>
      <c r="C12" s="323"/>
      <c r="D12" s="108">
        <f>D14+D17+D24+D29+D44+D50+D56</f>
        <v>1834340.7099999997</v>
      </c>
      <c r="E12" s="108">
        <f>E13+E17+E24+E29+E44+E50+E56</f>
        <v>1803708.26</v>
      </c>
      <c r="F12" s="108">
        <f>F13+F17+F24+F29+F44+F50+F56</f>
        <v>1396431.74</v>
      </c>
      <c r="G12" s="108">
        <f>E12/D12*100</f>
        <v>98.330056688323737</v>
      </c>
      <c r="J12" s="227"/>
    </row>
    <row r="13" spans="1:10" s="6" customFormat="1" ht="12.75" customHeight="1" x14ac:dyDescent="0.2">
      <c r="A13" s="305" t="s">
        <v>189</v>
      </c>
      <c r="B13" s="306"/>
      <c r="C13" s="306"/>
      <c r="D13" s="102">
        <f t="shared" ref="D13:F14" si="0">D14</f>
        <v>136040.9</v>
      </c>
      <c r="E13" s="102">
        <f t="shared" si="0"/>
        <v>136040.9</v>
      </c>
      <c r="F13" s="102">
        <f t="shared" si="0"/>
        <v>132084.4</v>
      </c>
      <c r="G13" s="102">
        <f>E13/D13*100</f>
        <v>100</v>
      </c>
    </row>
    <row r="14" spans="1:10" s="6" customFormat="1" ht="12.75" customHeight="1" x14ac:dyDescent="0.2">
      <c r="A14" s="42">
        <v>67</v>
      </c>
      <c r="B14" s="43" t="s">
        <v>79</v>
      </c>
      <c r="C14" s="43"/>
      <c r="D14" s="41">
        <f t="shared" si="0"/>
        <v>136040.9</v>
      </c>
      <c r="E14" s="41">
        <f>E15</f>
        <v>136040.9</v>
      </c>
      <c r="F14" s="41">
        <f>F15</f>
        <v>132084.4</v>
      </c>
      <c r="G14" s="41">
        <f>E14/D14*100</f>
        <v>100</v>
      </c>
    </row>
    <row r="15" spans="1:10" s="6" customFormat="1" ht="24.75" customHeight="1" x14ac:dyDescent="0.2">
      <c r="A15" s="103">
        <v>671</v>
      </c>
      <c r="B15" s="307" t="s">
        <v>133</v>
      </c>
      <c r="C15" s="308"/>
      <c r="D15" s="104">
        <v>136040.9</v>
      </c>
      <c r="E15" s="104">
        <f>E16</f>
        <v>136040.9</v>
      </c>
      <c r="F15" s="104">
        <f>F16</f>
        <v>132084.4</v>
      </c>
      <c r="G15" s="104">
        <f>E15/D15*100</f>
        <v>100</v>
      </c>
    </row>
    <row r="16" spans="1:10" ht="12.75" customHeight="1" x14ac:dyDescent="0.2">
      <c r="A16" s="7">
        <v>6711</v>
      </c>
      <c r="B16" s="8" t="s">
        <v>80</v>
      </c>
      <c r="C16" s="8"/>
      <c r="D16" s="44"/>
      <c r="E16" s="44">
        <v>136040.9</v>
      </c>
      <c r="F16" s="44">
        <v>132084.4</v>
      </c>
      <c r="G16" s="44"/>
    </row>
    <row r="17" spans="1:12" s="6" customFormat="1" ht="12.75" customHeight="1" x14ac:dyDescent="0.2">
      <c r="A17" s="305" t="s">
        <v>190</v>
      </c>
      <c r="B17" s="306"/>
      <c r="C17" s="306"/>
      <c r="D17" s="102">
        <f t="shared" ref="D17:F18" si="1">D18</f>
        <v>26177.1</v>
      </c>
      <c r="E17" s="102">
        <f t="shared" si="1"/>
        <v>15838.04</v>
      </c>
      <c r="F17" s="102">
        <f t="shared" si="1"/>
        <v>18513.900000000001</v>
      </c>
      <c r="G17" s="102">
        <f>E17/D17*100</f>
        <v>60.50341710884706</v>
      </c>
    </row>
    <row r="18" spans="1:12" s="6" customFormat="1" ht="12.75" customHeight="1" x14ac:dyDescent="0.2">
      <c r="A18" s="32">
        <v>66</v>
      </c>
      <c r="B18" s="45" t="s">
        <v>81</v>
      </c>
      <c r="C18" s="45"/>
      <c r="D18" s="41">
        <f>D19</f>
        <v>26177.1</v>
      </c>
      <c r="E18" s="41">
        <f t="shared" si="1"/>
        <v>15838.04</v>
      </c>
      <c r="F18" s="41">
        <f t="shared" si="1"/>
        <v>18513.900000000001</v>
      </c>
      <c r="G18" s="41">
        <f>E18/D18*100</f>
        <v>60.50341710884706</v>
      </c>
    </row>
    <row r="19" spans="1:12" s="6" customFormat="1" ht="12.75" customHeight="1" x14ac:dyDescent="0.2">
      <c r="A19" s="32">
        <v>661</v>
      </c>
      <c r="B19" s="45" t="s">
        <v>151</v>
      </c>
      <c r="C19" s="45"/>
      <c r="D19" s="41">
        <f>SUM(D20:D23)</f>
        <v>26177.1</v>
      </c>
      <c r="E19" s="41">
        <f>SUM(E20:E22)</f>
        <v>15838.04</v>
      </c>
      <c r="F19" s="41">
        <f>SUM(F20:F22)</f>
        <v>18513.900000000001</v>
      </c>
      <c r="G19" s="41">
        <f>E19/D19*100</f>
        <v>60.50341710884706</v>
      </c>
      <c r="L19" s="228"/>
    </row>
    <row r="20" spans="1:12" s="6" customFormat="1" ht="12.75" customHeight="1" x14ac:dyDescent="0.2">
      <c r="A20" s="9">
        <v>6614</v>
      </c>
      <c r="B20" s="221" t="s">
        <v>234</v>
      </c>
      <c r="C20" s="224"/>
      <c r="D20" s="41">
        <v>398.4</v>
      </c>
      <c r="E20" s="44">
        <v>398.4</v>
      </c>
      <c r="F20" s="44">
        <v>247.56</v>
      </c>
      <c r="G20" s="41"/>
    </row>
    <row r="21" spans="1:12" ht="12.75" customHeight="1" x14ac:dyDescent="0.2">
      <c r="A21" s="3" t="s">
        <v>47</v>
      </c>
      <c r="B21" s="326" t="s">
        <v>48</v>
      </c>
      <c r="C21" s="327"/>
      <c r="D21" s="44">
        <v>6539.64</v>
      </c>
      <c r="E21" s="44">
        <v>8900</v>
      </c>
      <c r="F21" s="44">
        <v>7396.15</v>
      </c>
      <c r="G21" s="44"/>
    </row>
    <row r="22" spans="1:12" ht="12.75" customHeight="1" x14ac:dyDescent="0.2">
      <c r="A22" s="3" t="s">
        <v>47</v>
      </c>
      <c r="B22" s="326" t="s">
        <v>150</v>
      </c>
      <c r="C22" s="327"/>
      <c r="D22" s="243">
        <v>8900</v>
      </c>
      <c r="E22" s="44">
        <v>6539.64</v>
      </c>
      <c r="F22" s="44">
        <v>10870.19</v>
      </c>
      <c r="G22" s="44"/>
    </row>
    <row r="23" spans="1:12" ht="12.75" customHeight="1" x14ac:dyDescent="0.2">
      <c r="A23" s="222">
        <v>9221</v>
      </c>
      <c r="B23" s="223"/>
      <c r="C23" s="223"/>
      <c r="D23" s="44">
        <v>10339.06</v>
      </c>
      <c r="E23" s="232">
        <v>10339.06</v>
      </c>
      <c r="F23" s="44"/>
      <c r="G23" s="44"/>
    </row>
    <row r="24" spans="1:12" s="6" customFormat="1" ht="12.75" customHeight="1" x14ac:dyDescent="0.2">
      <c r="A24" s="305" t="s">
        <v>193</v>
      </c>
      <c r="B24" s="306"/>
      <c r="C24" s="306"/>
      <c r="D24" s="102">
        <f t="shared" ref="D24:E25" si="2">D25</f>
        <v>3500</v>
      </c>
      <c r="E24" s="102">
        <f t="shared" si="2"/>
        <v>3500</v>
      </c>
      <c r="F24" s="102">
        <f>F25</f>
        <v>4130.4399999999996</v>
      </c>
      <c r="G24" s="102">
        <f>E24/D24*100</f>
        <v>100</v>
      </c>
    </row>
    <row r="25" spans="1:12" s="6" customFormat="1" ht="24.75" customHeight="1" x14ac:dyDescent="0.2">
      <c r="A25" s="46">
        <v>65</v>
      </c>
      <c r="B25" s="309" t="s">
        <v>82</v>
      </c>
      <c r="C25" s="310"/>
      <c r="D25" s="104">
        <f>SUM(D27:D28)</f>
        <v>3500</v>
      </c>
      <c r="E25" s="104">
        <f t="shared" si="2"/>
        <v>3500</v>
      </c>
      <c r="F25" s="104">
        <f>F26</f>
        <v>4130.4399999999996</v>
      </c>
      <c r="G25" s="104">
        <f>E25/D25*100</f>
        <v>100</v>
      </c>
    </row>
    <row r="26" spans="1:12" s="6" customFormat="1" ht="12.75" customHeight="1" x14ac:dyDescent="0.2">
      <c r="A26" s="46">
        <v>652</v>
      </c>
      <c r="B26" s="311" t="s">
        <v>152</v>
      </c>
      <c r="C26" s="312"/>
      <c r="D26" s="104">
        <v>0</v>
      </c>
      <c r="E26" s="104">
        <f>E27</f>
        <v>3500</v>
      </c>
      <c r="F26" s="104">
        <f>F27</f>
        <v>4130.4399999999996</v>
      </c>
      <c r="G26" s="104" t="e">
        <f>E26/D26*100</f>
        <v>#DIV/0!</v>
      </c>
    </row>
    <row r="27" spans="1:12" ht="12.75" customHeight="1" x14ac:dyDescent="0.2">
      <c r="A27" s="3" t="s">
        <v>49</v>
      </c>
      <c r="B27" s="326" t="s">
        <v>50</v>
      </c>
      <c r="C27" s="327"/>
      <c r="D27" s="44">
        <v>3500</v>
      </c>
      <c r="E27" s="44">
        <v>3500</v>
      </c>
      <c r="F27" s="44">
        <v>4130.4399999999996</v>
      </c>
      <c r="G27" s="44"/>
    </row>
    <row r="28" spans="1:12" ht="12.75" customHeight="1" x14ac:dyDescent="0.2">
      <c r="A28" s="222">
        <v>9221</v>
      </c>
      <c r="B28" s="223"/>
      <c r="C28" s="223"/>
      <c r="D28" s="44"/>
      <c r="E28" s="232">
        <v>4414.32</v>
      </c>
      <c r="F28" s="44"/>
      <c r="G28" s="44"/>
    </row>
    <row r="29" spans="1:12" s="6" customFormat="1" ht="12.75" customHeight="1" x14ac:dyDescent="0.2">
      <c r="A29" s="305" t="s">
        <v>194</v>
      </c>
      <c r="B29" s="306"/>
      <c r="C29" s="306"/>
      <c r="D29" s="102">
        <f>D30</f>
        <v>1643891.24</v>
      </c>
      <c r="E29" s="102">
        <f>E30</f>
        <v>1635410.28</v>
      </c>
      <c r="F29" s="102">
        <f>F30</f>
        <v>1222795.72</v>
      </c>
      <c r="G29" s="102">
        <f>E29/D29*100</f>
        <v>99.484092390443053</v>
      </c>
    </row>
    <row r="30" spans="1:12" s="6" customFormat="1" ht="24.75" customHeight="1" x14ac:dyDescent="0.2">
      <c r="A30" s="46">
        <v>63</v>
      </c>
      <c r="B30" s="309" t="s">
        <v>83</v>
      </c>
      <c r="C30" s="310"/>
      <c r="D30" s="104">
        <f>D33+D35+D41+D39+D43</f>
        <v>1643891.24</v>
      </c>
      <c r="E30" s="104">
        <f>E33+E35+E41+E39</f>
        <v>1635410.28</v>
      </c>
      <c r="F30" s="104">
        <f>F33+F35+F41+F39</f>
        <v>1222795.72</v>
      </c>
      <c r="G30" s="104">
        <f>E30/D30*100</f>
        <v>99.484092390443053</v>
      </c>
    </row>
    <row r="31" spans="1:12" s="6" customFormat="1" ht="24.75" customHeight="1" x14ac:dyDescent="0.2">
      <c r="A31" s="46">
        <v>631</v>
      </c>
      <c r="B31" s="219"/>
      <c r="C31" s="220" t="s">
        <v>235</v>
      </c>
      <c r="D31" s="104"/>
      <c r="E31" s="104"/>
      <c r="F31" s="104"/>
      <c r="G31" s="104"/>
    </row>
    <row r="32" spans="1:12" s="6" customFormat="1" ht="24.75" customHeight="1" x14ac:dyDescent="0.2">
      <c r="A32" s="37">
        <v>6331</v>
      </c>
      <c r="B32" s="219"/>
      <c r="C32" s="220" t="s">
        <v>236</v>
      </c>
      <c r="D32" s="104"/>
      <c r="E32" s="104">
        <v>0</v>
      </c>
      <c r="F32" s="104"/>
      <c r="G32" s="104"/>
    </row>
    <row r="33" spans="1:7" s="6" customFormat="1" ht="12.75" customHeight="1" x14ac:dyDescent="0.2">
      <c r="A33" s="32">
        <v>634</v>
      </c>
      <c r="B33" s="303" t="s">
        <v>211</v>
      </c>
      <c r="C33" s="304"/>
      <c r="D33" s="41">
        <f>D34</f>
        <v>1501.58</v>
      </c>
      <c r="E33" s="41">
        <f>E34</f>
        <v>1501.58</v>
      </c>
      <c r="F33" s="41">
        <f>F34</f>
        <v>0</v>
      </c>
      <c r="G33" s="41">
        <f>E33/D33*100</f>
        <v>100</v>
      </c>
    </row>
    <row r="34" spans="1:7" ht="12.75" customHeight="1" x14ac:dyDescent="0.2">
      <c r="A34" s="9">
        <v>6341</v>
      </c>
      <c r="B34" s="334" t="s">
        <v>212</v>
      </c>
      <c r="C34" s="335"/>
      <c r="D34" s="44">
        <v>1501.58</v>
      </c>
      <c r="E34" s="44">
        <v>1501.58</v>
      </c>
      <c r="F34" s="44"/>
      <c r="G34" s="44"/>
    </row>
    <row r="35" spans="1:7" s="6" customFormat="1" ht="24.75" customHeight="1" x14ac:dyDescent="0.2">
      <c r="A35" s="46">
        <v>636</v>
      </c>
      <c r="B35" s="309" t="s">
        <v>126</v>
      </c>
      <c r="C35" s="310"/>
      <c r="D35" s="104">
        <f>SUM(D36:D38)</f>
        <v>1604260.29</v>
      </c>
      <c r="E35" s="104">
        <f>SUM(E36:E38)</f>
        <v>1604260.29</v>
      </c>
      <c r="F35" s="104">
        <f>SUM(F36:F38)</f>
        <v>1198646.44</v>
      </c>
      <c r="G35" s="104">
        <f>E35/D35*100</f>
        <v>100</v>
      </c>
    </row>
    <row r="36" spans="1:7" s="1" customFormat="1" ht="24.75" customHeight="1" x14ac:dyDescent="0.2">
      <c r="A36" s="105" t="s">
        <v>51</v>
      </c>
      <c r="B36" s="299" t="s">
        <v>153</v>
      </c>
      <c r="C36" s="300"/>
      <c r="D36" s="106">
        <v>1602210.29</v>
      </c>
      <c r="E36" s="106">
        <v>1602210.29</v>
      </c>
      <c r="F36" s="106">
        <v>1191069.23</v>
      </c>
      <c r="G36" s="106"/>
    </row>
    <row r="37" spans="1:7" s="1" customFormat="1" ht="12.75" customHeight="1" x14ac:dyDescent="0.2">
      <c r="A37" s="105" t="s">
        <v>51</v>
      </c>
      <c r="B37" s="299" t="s">
        <v>201</v>
      </c>
      <c r="C37" s="300"/>
      <c r="D37" s="106">
        <v>1050</v>
      </c>
      <c r="E37" s="106">
        <v>1050</v>
      </c>
      <c r="F37" s="106">
        <v>6966.08</v>
      </c>
      <c r="G37" s="106"/>
    </row>
    <row r="38" spans="1:7" ht="24.75" customHeight="1" x14ac:dyDescent="0.2">
      <c r="A38" s="37">
        <v>6362</v>
      </c>
      <c r="B38" s="299" t="s">
        <v>52</v>
      </c>
      <c r="C38" s="300"/>
      <c r="D38" s="106">
        <v>1000</v>
      </c>
      <c r="E38" s="106">
        <v>1000</v>
      </c>
      <c r="F38" s="106">
        <v>611.13</v>
      </c>
      <c r="G38" s="106"/>
    </row>
    <row r="39" spans="1:7" s="6" customFormat="1" ht="12.75" customHeight="1" x14ac:dyDescent="0.2">
      <c r="A39" s="46">
        <v>638</v>
      </c>
      <c r="B39" s="315" t="s">
        <v>169</v>
      </c>
      <c r="C39" s="316"/>
      <c r="D39" s="104">
        <f>D40</f>
        <v>20648.41</v>
      </c>
      <c r="E39" s="104">
        <f>E40</f>
        <v>20648.41</v>
      </c>
      <c r="F39" s="104">
        <f>F40</f>
        <v>16201.81</v>
      </c>
      <c r="G39" s="104">
        <f>E39/D39*100</f>
        <v>100</v>
      </c>
    </row>
    <row r="40" spans="1:7" ht="24.75" customHeight="1" x14ac:dyDescent="0.2">
      <c r="A40" s="37">
        <v>6381</v>
      </c>
      <c r="B40" s="299" t="s">
        <v>170</v>
      </c>
      <c r="C40" s="300"/>
      <c r="D40" s="106">
        <v>20648.41</v>
      </c>
      <c r="E40" s="106">
        <v>20648.41</v>
      </c>
      <c r="F40" s="106">
        <v>16201.81</v>
      </c>
      <c r="G40" s="106"/>
    </row>
    <row r="41" spans="1:7" s="6" customFormat="1" ht="30" customHeight="1" x14ac:dyDescent="0.2">
      <c r="A41" s="46">
        <v>639</v>
      </c>
      <c r="B41" s="309" t="s">
        <v>127</v>
      </c>
      <c r="C41" s="310"/>
      <c r="D41" s="104">
        <f>D42</f>
        <v>9000</v>
      </c>
      <c r="E41" s="104">
        <f>E42</f>
        <v>9000</v>
      </c>
      <c r="F41" s="104">
        <f>F42</f>
        <v>7947.47</v>
      </c>
      <c r="G41" s="104">
        <f>E41/D41*100</f>
        <v>100</v>
      </c>
    </row>
    <row r="42" spans="1:7" s="1" customFormat="1" ht="24.75" customHeight="1" x14ac:dyDescent="0.2">
      <c r="A42" s="37">
        <v>6393</v>
      </c>
      <c r="B42" s="299" t="s">
        <v>154</v>
      </c>
      <c r="C42" s="300"/>
      <c r="D42" s="106">
        <v>9000</v>
      </c>
      <c r="E42" s="106">
        <v>9000</v>
      </c>
      <c r="F42" s="106">
        <v>7947.47</v>
      </c>
      <c r="G42" s="106"/>
    </row>
    <row r="43" spans="1:7" s="1" customFormat="1" ht="24.75" customHeight="1" x14ac:dyDescent="0.2">
      <c r="A43" s="239">
        <v>9221</v>
      </c>
      <c r="B43" s="240"/>
      <c r="C43" s="240"/>
      <c r="D43" s="106">
        <v>8480.9599999999991</v>
      </c>
      <c r="E43" s="106">
        <v>8480.9599999999991</v>
      </c>
      <c r="F43" s="106"/>
      <c r="G43" s="106"/>
    </row>
    <row r="44" spans="1:7" s="6" customFormat="1" ht="12.75" customHeight="1" x14ac:dyDescent="0.2">
      <c r="A44" s="305" t="s">
        <v>195</v>
      </c>
      <c r="B44" s="306"/>
      <c r="C44" s="306"/>
      <c r="D44" s="102">
        <f t="shared" ref="D44:E45" si="3">D45</f>
        <v>1269.69</v>
      </c>
      <c r="E44" s="102">
        <f t="shared" si="3"/>
        <v>200</v>
      </c>
      <c r="F44" s="102">
        <f>F45</f>
        <v>276.14</v>
      </c>
      <c r="G44" s="102">
        <f>E44/D44*100</f>
        <v>15.751876442281187</v>
      </c>
    </row>
    <row r="45" spans="1:7" s="6" customFormat="1" ht="12.75" customHeight="1" x14ac:dyDescent="0.2">
      <c r="A45" s="32">
        <v>66</v>
      </c>
      <c r="B45" s="303" t="s">
        <v>84</v>
      </c>
      <c r="C45" s="304"/>
      <c r="D45" s="41">
        <f t="shared" si="3"/>
        <v>1269.69</v>
      </c>
      <c r="E45" s="41">
        <f t="shared" si="3"/>
        <v>200</v>
      </c>
      <c r="F45" s="41">
        <f>SUM(F46:F48)</f>
        <v>276.14</v>
      </c>
      <c r="G45" s="41">
        <f>E45/D45*100</f>
        <v>15.751876442281187</v>
      </c>
    </row>
    <row r="46" spans="1:7" s="107" customFormat="1" ht="24.75" customHeight="1" x14ac:dyDescent="0.2">
      <c r="A46" s="46">
        <v>663</v>
      </c>
      <c r="B46" s="309" t="s">
        <v>155</v>
      </c>
      <c r="C46" s="310"/>
      <c r="D46" s="104">
        <f>SUM(D47:D49)</f>
        <v>1269.69</v>
      </c>
      <c r="E46" s="104">
        <v>200</v>
      </c>
      <c r="F46" s="104"/>
      <c r="G46" s="104">
        <f>E46/D46*100</f>
        <v>15.751876442281187</v>
      </c>
    </row>
    <row r="47" spans="1:7" ht="12.75" customHeight="1" x14ac:dyDescent="0.2">
      <c r="A47" s="9" t="s">
        <v>53</v>
      </c>
      <c r="B47" s="326" t="s">
        <v>54</v>
      </c>
      <c r="C47" s="327"/>
      <c r="D47" s="44"/>
      <c r="E47" s="44"/>
      <c r="F47" s="44">
        <v>76.14</v>
      </c>
      <c r="G47" s="44"/>
    </row>
    <row r="48" spans="1:7" ht="12.75" customHeight="1" x14ac:dyDescent="0.2">
      <c r="A48" s="9">
        <v>6632</v>
      </c>
      <c r="B48" s="326" t="s">
        <v>89</v>
      </c>
      <c r="C48" s="327"/>
      <c r="D48" s="44">
        <v>300</v>
      </c>
      <c r="E48" s="44">
        <v>300</v>
      </c>
      <c r="F48" s="44">
        <v>200</v>
      </c>
      <c r="G48" s="44"/>
    </row>
    <row r="49" spans="1:7" ht="12.75" customHeight="1" x14ac:dyDescent="0.2">
      <c r="A49" s="233">
        <v>9221</v>
      </c>
      <c r="B49" s="223"/>
      <c r="C49" s="223"/>
      <c r="D49" s="44">
        <v>969.69</v>
      </c>
      <c r="E49" s="232">
        <v>969.69</v>
      </c>
      <c r="F49" s="44"/>
      <c r="G49" s="44"/>
    </row>
    <row r="50" spans="1:7" s="6" customFormat="1" ht="12.75" customHeight="1" x14ac:dyDescent="0.2">
      <c r="A50" s="305" t="s">
        <v>196</v>
      </c>
      <c r="B50" s="306"/>
      <c r="C50" s="306"/>
      <c r="D50" s="102">
        <f t="shared" ref="D50:E51" si="4">D51</f>
        <v>9863.130000000001</v>
      </c>
      <c r="E50" s="102">
        <f t="shared" si="4"/>
        <v>1400</v>
      </c>
      <c r="F50" s="102">
        <f>F51</f>
        <v>7686.35</v>
      </c>
      <c r="G50" s="102">
        <f>E50/D50*100</f>
        <v>14.194277070260656</v>
      </c>
    </row>
    <row r="51" spans="1:7" s="6" customFormat="1" ht="12.75" customHeight="1" x14ac:dyDescent="0.2">
      <c r="A51" s="32">
        <v>72</v>
      </c>
      <c r="B51" s="324" t="s">
        <v>85</v>
      </c>
      <c r="C51" s="325"/>
      <c r="D51" s="41">
        <f t="shared" si="4"/>
        <v>9863.130000000001</v>
      </c>
      <c r="E51" s="41">
        <f t="shared" si="4"/>
        <v>1400</v>
      </c>
      <c r="F51" s="41">
        <f>F52+F54</f>
        <v>7686.35</v>
      </c>
      <c r="G51" s="41">
        <f>E51/D51*100</f>
        <v>14.194277070260656</v>
      </c>
    </row>
    <row r="52" spans="1:7" s="6" customFormat="1" ht="12.75" customHeight="1" x14ac:dyDescent="0.2">
      <c r="A52" s="32">
        <v>721</v>
      </c>
      <c r="B52" s="324" t="s">
        <v>136</v>
      </c>
      <c r="C52" s="325"/>
      <c r="D52" s="41">
        <f>SUM(D53:D55)</f>
        <v>9863.130000000001</v>
      </c>
      <c r="E52" s="41">
        <f>E53</f>
        <v>1400</v>
      </c>
      <c r="F52" s="41">
        <f>F53</f>
        <v>1383.35</v>
      </c>
      <c r="G52" s="41">
        <f>E52/D52*100</f>
        <v>14.194277070260656</v>
      </c>
    </row>
    <row r="53" spans="1:7" ht="12.75" customHeight="1" x14ac:dyDescent="0.2">
      <c r="A53" s="38" t="s">
        <v>55</v>
      </c>
      <c r="B53" s="330" t="s">
        <v>56</v>
      </c>
      <c r="C53" s="331"/>
      <c r="D53" s="47">
        <v>1400</v>
      </c>
      <c r="E53" s="47">
        <v>1400</v>
      </c>
      <c r="F53" s="47">
        <v>1383.35</v>
      </c>
      <c r="G53" s="47"/>
    </row>
    <row r="54" spans="1:7" ht="12.75" customHeight="1" x14ac:dyDescent="0.2">
      <c r="A54" s="234">
        <v>7227</v>
      </c>
      <c r="B54" s="235"/>
      <c r="C54" s="236"/>
      <c r="D54" s="237">
        <v>6500</v>
      </c>
      <c r="E54" s="238">
        <v>6500</v>
      </c>
      <c r="F54" s="237">
        <v>6303</v>
      </c>
      <c r="G54" s="237"/>
    </row>
    <row r="55" spans="1:7" ht="12.75" customHeight="1" x14ac:dyDescent="0.2">
      <c r="A55" s="234">
        <v>9221</v>
      </c>
      <c r="B55" s="235"/>
      <c r="C55" s="236"/>
      <c r="D55" s="237">
        <v>1963.13</v>
      </c>
      <c r="E55" s="238">
        <v>1963.13</v>
      </c>
      <c r="F55" s="237"/>
      <c r="G55" s="237"/>
    </row>
    <row r="56" spans="1:7" ht="12.75" customHeight="1" x14ac:dyDescent="0.2">
      <c r="A56" s="276" t="s">
        <v>197</v>
      </c>
      <c r="B56" s="277"/>
      <c r="C56" s="277"/>
      <c r="D56" s="49">
        <f t="shared" ref="D56:E57" si="5">D57</f>
        <v>13598.65</v>
      </c>
      <c r="E56" s="49">
        <f t="shared" si="5"/>
        <v>11319.04</v>
      </c>
      <c r="F56" s="49">
        <f>F57</f>
        <v>10944.79</v>
      </c>
      <c r="G56" s="49">
        <f>E56/D56*100</f>
        <v>83.236497740584554</v>
      </c>
    </row>
    <row r="57" spans="1:7" ht="24.75" customHeight="1" x14ac:dyDescent="0.2">
      <c r="A57" s="46">
        <v>63</v>
      </c>
      <c r="B57" s="309" t="s">
        <v>83</v>
      </c>
      <c r="C57" s="310"/>
      <c r="D57" s="104">
        <f t="shared" si="5"/>
        <v>13598.65</v>
      </c>
      <c r="E57" s="104">
        <f t="shared" si="5"/>
        <v>11319.04</v>
      </c>
      <c r="F57" s="104">
        <f>F58</f>
        <v>10944.79</v>
      </c>
      <c r="G57" s="104">
        <f>E57/D57*100</f>
        <v>83.236497740584554</v>
      </c>
    </row>
    <row r="58" spans="1:7" ht="25.5" customHeight="1" x14ac:dyDescent="0.2">
      <c r="A58" s="46">
        <v>639</v>
      </c>
      <c r="B58" s="309" t="s">
        <v>127</v>
      </c>
      <c r="C58" s="310"/>
      <c r="D58" s="104">
        <f>D59</f>
        <v>13598.65</v>
      </c>
      <c r="E58" s="104">
        <f>E59</f>
        <v>11319.04</v>
      </c>
      <c r="F58" s="104">
        <f>F59</f>
        <v>10944.79</v>
      </c>
      <c r="G58" s="104">
        <f>E58/D58*100</f>
        <v>83.236497740584554</v>
      </c>
    </row>
    <row r="59" spans="1:7" ht="24.75" customHeight="1" x14ac:dyDescent="0.2">
      <c r="A59" s="37">
        <v>6393</v>
      </c>
      <c r="B59" s="299" t="s">
        <v>154</v>
      </c>
      <c r="C59" s="300"/>
      <c r="D59" s="106">
        <v>13598.65</v>
      </c>
      <c r="E59" s="106">
        <v>11319.04</v>
      </c>
      <c r="F59" s="106">
        <v>10944.79</v>
      </c>
      <c r="G59" s="106"/>
    </row>
    <row r="62" spans="1:7" ht="12.75" customHeight="1" x14ac:dyDescent="0.2">
      <c r="A62" s="135"/>
      <c r="B62" s="313" t="s">
        <v>156</v>
      </c>
      <c r="C62" s="314"/>
      <c r="D62" s="109">
        <f>D63+D66+D69+D72+D75</f>
        <v>0</v>
      </c>
      <c r="E62" s="109">
        <f>E63+E66+E69+E72+E75</f>
        <v>0</v>
      </c>
      <c r="F62" s="109"/>
      <c r="G62" s="109" t="e">
        <f t="shared" ref="G62:G79" si="6">E62/D62*100</f>
        <v>#DIV/0!</v>
      </c>
    </row>
    <row r="63" spans="1:7" ht="12.75" customHeight="1" x14ac:dyDescent="0.2">
      <c r="A63" s="136"/>
      <c r="B63" s="317" t="s">
        <v>190</v>
      </c>
      <c r="C63" s="318"/>
      <c r="D63" s="110">
        <f t="shared" ref="D63:E64" si="7">D64</f>
        <v>0</v>
      </c>
      <c r="E63" s="110">
        <f t="shared" si="7"/>
        <v>0</v>
      </c>
      <c r="F63" s="110"/>
      <c r="G63" s="110" t="e">
        <f t="shared" si="6"/>
        <v>#DIV/0!</v>
      </c>
    </row>
    <row r="64" spans="1:7" x14ac:dyDescent="0.2">
      <c r="A64" s="103">
        <v>92</v>
      </c>
      <c r="B64" s="309" t="s">
        <v>138</v>
      </c>
      <c r="C64" s="310"/>
      <c r="D64" s="112">
        <f t="shared" si="7"/>
        <v>0</v>
      </c>
      <c r="E64" s="112">
        <f t="shared" si="7"/>
        <v>0</v>
      </c>
      <c r="F64" s="112"/>
      <c r="G64" s="112" t="e">
        <f t="shared" si="6"/>
        <v>#DIV/0!</v>
      </c>
    </row>
    <row r="65" spans="1:7" x14ac:dyDescent="0.2">
      <c r="A65" s="113">
        <v>922</v>
      </c>
      <c r="B65" s="319" t="s">
        <v>139</v>
      </c>
      <c r="C65" s="320"/>
      <c r="D65" s="115">
        <v>0</v>
      </c>
      <c r="E65" s="115"/>
      <c r="F65" s="115"/>
      <c r="G65" s="115" t="e">
        <f t="shared" si="6"/>
        <v>#DIV/0!</v>
      </c>
    </row>
    <row r="66" spans="1:7" ht="12.75" customHeight="1" x14ac:dyDescent="0.2">
      <c r="A66" s="136"/>
      <c r="B66" s="317" t="s">
        <v>198</v>
      </c>
      <c r="C66" s="318"/>
      <c r="D66" s="110">
        <f t="shared" ref="D66:E67" si="8">D67</f>
        <v>0</v>
      </c>
      <c r="E66" s="110">
        <f t="shared" si="8"/>
        <v>0</v>
      </c>
      <c r="F66" s="110"/>
      <c r="G66" s="110" t="e">
        <f t="shared" si="6"/>
        <v>#DIV/0!</v>
      </c>
    </row>
    <row r="67" spans="1:7" x14ac:dyDescent="0.2">
      <c r="A67" s="103">
        <v>92</v>
      </c>
      <c r="B67" s="309" t="s">
        <v>138</v>
      </c>
      <c r="C67" s="310"/>
      <c r="D67" s="112">
        <f t="shared" si="8"/>
        <v>0</v>
      </c>
      <c r="E67" s="112">
        <f t="shared" si="8"/>
        <v>0</v>
      </c>
      <c r="F67" s="112"/>
      <c r="G67" s="112" t="e">
        <f t="shared" si="6"/>
        <v>#DIV/0!</v>
      </c>
    </row>
    <row r="68" spans="1:7" x14ac:dyDescent="0.2">
      <c r="A68" s="113">
        <v>922</v>
      </c>
      <c r="B68" s="319" t="s">
        <v>139</v>
      </c>
      <c r="C68" s="320"/>
      <c r="D68" s="115">
        <v>0</v>
      </c>
      <c r="E68" s="115"/>
      <c r="F68" s="115"/>
      <c r="G68" s="115" t="e">
        <f t="shared" si="6"/>
        <v>#DIV/0!</v>
      </c>
    </row>
    <row r="69" spans="1:7" x14ac:dyDescent="0.2">
      <c r="A69" s="136"/>
      <c r="B69" s="317" t="s">
        <v>188</v>
      </c>
      <c r="C69" s="318"/>
      <c r="D69" s="110">
        <f t="shared" ref="D69:E70" si="9">D70</f>
        <v>0</v>
      </c>
      <c r="E69" s="110">
        <f t="shared" si="9"/>
        <v>0</v>
      </c>
      <c r="F69" s="110"/>
      <c r="G69" s="110" t="e">
        <f t="shared" si="6"/>
        <v>#DIV/0!</v>
      </c>
    </row>
    <row r="70" spans="1:7" x14ac:dyDescent="0.2">
      <c r="A70" s="103">
        <v>92</v>
      </c>
      <c r="B70" s="309" t="s">
        <v>138</v>
      </c>
      <c r="C70" s="310"/>
      <c r="D70" s="112">
        <f t="shared" si="9"/>
        <v>0</v>
      </c>
      <c r="E70" s="112">
        <f t="shared" si="9"/>
        <v>0</v>
      </c>
      <c r="F70" s="112"/>
      <c r="G70" s="112" t="e">
        <f t="shared" si="6"/>
        <v>#DIV/0!</v>
      </c>
    </row>
    <row r="71" spans="1:7" x14ac:dyDescent="0.2">
      <c r="A71" s="113">
        <v>922</v>
      </c>
      <c r="B71" s="319" t="s">
        <v>139</v>
      </c>
      <c r="C71" s="320"/>
      <c r="D71" s="115">
        <v>0</v>
      </c>
      <c r="E71" s="115">
        <v>0</v>
      </c>
      <c r="F71" s="115"/>
      <c r="G71" s="112" t="e">
        <f t="shared" si="6"/>
        <v>#DIV/0!</v>
      </c>
    </row>
    <row r="72" spans="1:7" ht="12.75" customHeight="1" x14ac:dyDescent="0.2">
      <c r="A72" s="136"/>
      <c r="B72" s="317" t="s">
        <v>195</v>
      </c>
      <c r="C72" s="318"/>
      <c r="D72" s="110">
        <f t="shared" ref="D72:E73" si="10">D73</f>
        <v>0</v>
      </c>
      <c r="E72" s="110">
        <f t="shared" si="10"/>
        <v>0</v>
      </c>
      <c r="F72" s="110"/>
      <c r="G72" s="110" t="e">
        <f t="shared" si="6"/>
        <v>#DIV/0!</v>
      </c>
    </row>
    <row r="73" spans="1:7" x14ac:dyDescent="0.2">
      <c r="A73" s="103">
        <v>92</v>
      </c>
      <c r="B73" s="137"/>
      <c r="C73" s="111" t="s">
        <v>138</v>
      </c>
      <c r="D73" s="112">
        <f t="shared" si="10"/>
        <v>0</v>
      </c>
      <c r="E73" s="112">
        <f t="shared" si="10"/>
        <v>0</v>
      </c>
      <c r="F73" s="112"/>
      <c r="G73" s="112" t="e">
        <f t="shared" si="6"/>
        <v>#DIV/0!</v>
      </c>
    </row>
    <row r="74" spans="1:7" x14ac:dyDescent="0.2">
      <c r="A74" s="113">
        <v>922</v>
      </c>
      <c r="B74" s="138"/>
      <c r="C74" s="114" t="s">
        <v>139</v>
      </c>
      <c r="D74" s="115">
        <v>0</v>
      </c>
      <c r="E74" s="115"/>
      <c r="F74" s="115"/>
      <c r="G74" s="115" t="e">
        <f t="shared" si="6"/>
        <v>#DIV/0!</v>
      </c>
    </row>
    <row r="75" spans="1:7" ht="12.75" customHeight="1" x14ac:dyDescent="0.2">
      <c r="A75" s="136"/>
      <c r="B75" s="317" t="s">
        <v>199</v>
      </c>
      <c r="C75" s="318"/>
      <c r="D75" s="110">
        <f t="shared" ref="D75:E76" si="11">D76</f>
        <v>0</v>
      </c>
      <c r="E75" s="110">
        <f t="shared" si="11"/>
        <v>0</v>
      </c>
      <c r="F75" s="110"/>
      <c r="G75" s="110" t="e">
        <f t="shared" si="6"/>
        <v>#DIV/0!</v>
      </c>
    </row>
    <row r="76" spans="1:7" x14ac:dyDescent="0.2">
      <c r="A76" s="103">
        <v>92</v>
      </c>
      <c r="B76" s="309" t="s">
        <v>138</v>
      </c>
      <c r="C76" s="310"/>
      <c r="D76" s="112">
        <f t="shared" si="11"/>
        <v>0</v>
      </c>
      <c r="E76" s="112">
        <f t="shared" si="11"/>
        <v>0</v>
      </c>
      <c r="F76" s="112"/>
      <c r="G76" s="112" t="e">
        <f t="shared" si="6"/>
        <v>#DIV/0!</v>
      </c>
    </row>
    <row r="77" spans="1:7" x14ac:dyDescent="0.2">
      <c r="A77" s="116">
        <v>922</v>
      </c>
      <c r="B77" s="328" t="s">
        <v>139</v>
      </c>
      <c r="C77" s="329"/>
      <c r="D77" s="117">
        <v>0</v>
      </c>
      <c r="E77" s="117">
        <v>0</v>
      </c>
      <c r="F77" s="117"/>
      <c r="G77" s="117" t="e">
        <f t="shared" si="6"/>
        <v>#DIV/0!</v>
      </c>
    </row>
    <row r="78" spans="1:7" ht="15" x14ac:dyDescent="0.25">
      <c r="B78" s="118"/>
      <c r="C78" s="118"/>
      <c r="D78" s="119"/>
      <c r="E78" s="119"/>
      <c r="F78" s="119"/>
      <c r="G78" s="119" t="e">
        <f t="shared" si="6"/>
        <v>#DIV/0!</v>
      </c>
    </row>
    <row r="79" spans="1:7" ht="22.5" customHeight="1" x14ac:dyDescent="0.2">
      <c r="A79" s="139"/>
      <c r="B79" s="301" t="s">
        <v>185</v>
      </c>
      <c r="C79" s="302"/>
      <c r="D79" s="120">
        <f>D12+D62</f>
        <v>1834340.7099999997</v>
      </c>
      <c r="E79" s="120">
        <f>E12+E62</f>
        <v>1803708.26</v>
      </c>
      <c r="F79" s="120"/>
      <c r="G79" s="120">
        <f t="shared" si="6"/>
        <v>98.330056688323737</v>
      </c>
    </row>
  </sheetData>
  <mergeCells count="55">
    <mergeCell ref="B76:C76"/>
    <mergeCell ref="B77:C77"/>
    <mergeCell ref="A7:G7"/>
    <mergeCell ref="B40:C40"/>
    <mergeCell ref="B42:C42"/>
    <mergeCell ref="B47:C47"/>
    <mergeCell ref="B48:C48"/>
    <mergeCell ref="B53:C53"/>
    <mergeCell ref="B59:C59"/>
    <mergeCell ref="A10:B10"/>
    <mergeCell ref="B27:C27"/>
    <mergeCell ref="B34:C34"/>
    <mergeCell ref="B36:C36"/>
    <mergeCell ref="B51:C51"/>
    <mergeCell ref="B69:C69"/>
    <mergeCell ref="B72:C72"/>
    <mergeCell ref="A2:G2"/>
    <mergeCell ref="A3:D3"/>
    <mergeCell ref="A4:G4"/>
    <mergeCell ref="B63:C63"/>
    <mergeCell ref="B66:C66"/>
    <mergeCell ref="A12:C12"/>
    <mergeCell ref="B52:C52"/>
    <mergeCell ref="B35:C35"/>
    <mergeCell ref="B41:C41"/>
    <mergeCell ref="A44:C44"/>
    <mergeCell ref="B45:C45"/>
    <mergeCell ref="B46:C46"/>
    <mergeCell ref="A50:C50"/>
    <mergeCell ref="B22:C22"/>
    <mergeCell ref="B21:C21"/>
    <mergeCell ref="B37:C37"/>
    <mergeCell ref="B75:C75"/>
    <mergeCell ref="B64:C64"/>
    <mergeCell ref="B65:C65"/>
    <mergeCell ref="B67:C67"/>
    <mergeCell ref="B68:C68"/>
    <mergeCell ref="B71:C71"/>
    <mergeCell ref="B70:C70"/>
    <mergeCell ref="B38:C38"/>
    <mergeCell ref="B79:C79"/>
    <mergeCell ref="B33:C33"/>
    <mergeCell ref="A13:C13"/>
    <mergeCell ref="B15:C15"/>
    <mergeCell ref="A17:C17"/>
    <mergeCell ref="A24:C24"/>
    <mergeCell ref="B25:C25"/>
    <mergeCell ref="B26:C26"/>
    <mergeCell ref="A29:C29"/>
    <mergeCell ref="B30:C30"/>
    <mergeCell ref="B62:C62"/>
    <mergeCell ref="A56:C56"/>
    <mergeCell ref="B57:C57"/>
    <mergeCell ref="B58:C58"/>
    <mergeCell ref="B39:C39"/>
  </mergeCells>
  <pageMargins left="0.59055118110236227" right="0" top="0.74803149606299213" bottom="0.74803149606299213" header="0.31496062992125984" footer="0.31496062992125984"/>
  <pageSetup paperSize="9" orientation="portrait" horizontalDpi="4294967293" verticalDpi="36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</vt:lpstr>
      <vt:lpstr>opći po ekonomskoj</vt:lpstr>
      <vt:lpstr> po izvorima financiranja</vt:lpstr>
      <vt:lpstr>rashodi-programska</vt:lpstr>
      <vt:lpstr>prihodi programska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2015-10-15T10:30:49Z</dcterms:created>
  <dcterms:modified xsi:type="dcterms:W3CDTF">2024-04-05T09:36:50Z</dcterms:modified>
</cp:coreProperties>
</file>